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ontage financier" sheetId="1" r:id="rId1"/>
    <sheet name="Prévision CA" sheetId="2" r:id="rId2"/>
    <sheet name="CR prévisionnels" sheetId="3" r:id="rId3"/>
    <sheet name="Plan de financement" sheetId="4" r:id="rId4"/>
  </sheets>
  <definedNames/>
  <calcPr fullCalcOnLoad="1"/>
</workbook>
</file>

<file path=xl/sharedStrings.xml><?xml version="1.0" encoding="utf-8"?>
<sst xmlns="http://schemas.openxmlformats.org/spreadsheetml/2006/main" count="152" uniqueCount="140">
  <si>
    <t xml:space="preserve">C.A. Hôtel </t>
  </si>
  <si>
    <t xml:space="preserve">C.A. Divers  </t>
  </si>
  <si>
    <t>Total C.A. HT</t>
  </si>
  <si>
    <t>Total Achats</t>
  </si>
  <si>
    <t>Salaires Bruts</t>
  </si>
  <si>
    <t>Charges Sociales</t>
  </si>
  <si>
    <t>Total Frais Personnel</t>
  </si>
  <si>
    <t>Blanchissage</t>
  </si>
  <si>
    <t>Energie</t>
  </si>
  <si>
    <t>Produits d'entretien</t>
  </si>
  <si>
    <t>Entretien immeuble</t>
  </si>
  <si>
    <t>Entretien matériel</t>
  </si>
  <si>
    <t>Produits  Acceuil</t>
  </si>
  <si>
    <t>Franchise</t>
  </si>
  <si>
    <t>Honoraires</t>
  </si>
  <si>
    <t>Locations</t>
  </si>
  <si>
    <t>Com agence cartes crédit</t>
  </si>
  <si>
    <t>Assurances</t>
  </si>
  <si>
    <t>Missions Déplacements</t>
  </si>
  <si>
    <t>Publicité</t>
  </si>
  <si>
    <t>Affranchissement</t>
  </si>
  <si>
    <t>Téléphone</t>
  </si>
  <si>
    <t>Fourniture Bureau</t>
  </si>
  <si>
    <t>Autres Frais</t>
  </si>
  <si>
    <t>Total Frais Exploit.</t>
  </si>
  <si>
    <t>R.B.E.</t>
  </si>
  <si>
    <t>Amortissements</t>
  </si>
  <si>
    <t>Total Frais Structure</t>
  </si>
  <si>
    <t>Résultat net</t>
  </si>
  <si>
    <t>CA bar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</si>
  <si>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</si>
  <si>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</si>
  <si>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</si>
  <si>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</si>
  <si>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</si>
  <si>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</si>
  <si>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</si>
  <si>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</si>
  <si>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</si>
  <si>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</si>
  <si>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</si>
  <si>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</si>
  <si>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</si>
  <si>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chambres construites</t>
  </si>
  <si>
    <t>Nombre de chambre vendues</t>
  </si>
  <si>
    <t>Taux d'occupation</t>
  </si>
  <si>
    <t>REVPAR</t>
  </si>
  <si>
    <t>Prix moyen HT</t>
  </si>
  <si>
    <t>CA Hôtel</t>
  </si>
  <si>
    <t>Nombre de clients hébergés</t>
  </si>
  <si>
    <t>Capacité du restaurant</t>
  </si>
  <si>
    <t>Nombre de clients passage</t>
  </si>
  <si>
    <t>Prix moyen passage</t>
  </si>
  <si>
    <t>Taux de captage hôtel</t>
  </si>
  <si>
    <t>Nombre de clients hôtel</t>
  </si>
  <si>
    <t>CA restaurant</t>
  </si>
  <si>
    <t>Taux de captage petits-déjeuners</t>
  </si>
  <si>
    <t>Nombre de petits déjeuners</t>
  </si>
  <si>
    <t>Prix moyen petit déjeuner</t>
  </si>
  <si>
    <t>CA petits déjeuners</t>
  </si>
  <si>
    <t>Hôtel</t>
  </si>
  <si>
    <t>Restaurant</t>
  </si>
  <si>
    <t>Petits déjeuners</t>
  </si>
  <si>
    <t>Bar</t>
  </si>
  <si>
    <t>CA divers</t>
  </si>
  <si>
    <t>CA total</t>
  </si>
  <si>
    <t>Redevances télévisuelles</t>
  </si>
  <si>
    <t>Fournitures d'exploitation</t>
  </si>
  <si>
    <t>Nombre de jours d'ouverture</t>
  </si>
  <si>
    <t>Prix moyen clients passage</t>
  </si>
  <si>
    <t>Prix moyen clients hôtel</t>
  </si>
  <si>
    <t>Dépense moyenne/client hôtel</t>
  </si>
  <si>
    <t>PREVISIONS DE CHIFFRE D'AFFAIRES N</t>
  </si>
  <si>
    <t>C.A. Petits déjeuners</t>
  </si>
  <si>
    <t>C.A. Bar</t>
  </si>
  <si>
    <t xml:space="preserve">C.A. Restaurant </t>
  </si>
  <si>
    <t>Matières restaurant</t>
  </si>
  <si>
    <t>Matières Petits-déjeuners</t>
  </si>
  <si>
    <t>Matières bar</t>
  </si>
  <si>
    <t>Impôts &amp; Taxes</t>
  </si>
  <si>
    <t>Loyer immobilier</t>
  </si>
  <si>
    <t>Charges financières</t>
  </si>
  <si>
    <t>Cash flow</t>
  </si>
  <si>
    <t>Résultat avant impôt</t>
  </si>
  <si>
    <t>Coûts d'occupation</t>
  </si>
  <si>
    <t>Emprunt</t>
  </si>
  <si>
    <t>MONTAGE FINANCIER DU PROJET</t>
  </si>
  <si>
    <t>Capital :</t>
  </si>
  <si>
    <t>Durée :</t>
  </si>
  <si>
    <t>Taux :</t>
  </si>
  <si>
    <t>Calcul annuel</t>
  </si>
  <si>
    <t>BESOINS</t>
  </si>
  <si>
    <t>Durée</t>
  </si>
  <si>
    <t>RESSOURCES</t>
  </si>
  <si>
    <t>Investissements</t>
  </si>
  <si>
    <t>Fonds propres</t>
  </si>
  <si>
    <t>Années</t>
  </si>
  <si>
    <t>Annuité</t>
  </si>
  <si>
    <t>Intérêts</t>
  </si>
  <si>
    <t>Remboursement</t>
  </si>
  <si>
    <t>Capital dû</t>
  </si>
  <si>
    <t>Capital</t>
  </si>
  <si>
    <t>Comptes-courants</t>
  </si>
  <si>
    <t>...</t>
  </si>
  <si>
    <t>Dotations aux amortissements</t>
  </si>
  <si>
    <t>Emprunts et crédit-bail</t>
  </si>
  <si>
    <t>Montant</t>
  </si>
  <si>
    <t>Dotation</t>
  </si>
  <si>
    <t>Emprunts bancaires</t>
  </si>
  <si>
    <t>Fonds de roulement</t>
  </si>
  <si>
    <t>Total emplois</t>
  </si>
  <si>
    <t>Total ressources</t>
  </si>
  <si>
    <t>Loyers</t>
  </si>
  <si>
    <t>…</t>
  </si>
  <si>
    <t>Aménagements</t>
  </si>
  <si>
    <t>Matériel et mobilier</t>
  </si>
  <si>
    <t>COMPTES DE RESULTATS PREVISIONNELS</t>
  </si>
  <si>
    <t>Impôt/bénéfices 33%</t>
  </si>
  <si>
    <t>PLAN DE FINANCEMENT</t>
  </si>
  <si>
    <t>Besoins de financement</t>
  </si>
  <si>
    <t>N+1</t>
  </si>
  <si>
    <t>N+2</t>
  </si>
  <si>
    <t>N+3</t>
  </si>
  <si>
    <t>Remboursements d'emprunts</t>
  </si>
  <si>
    <t>Réduction des fonds propres</t>
  </si>
  <si>
    <t>Distributions de dividendes</t>
  </si>
  <si>
    <t>Augmentation du besoin en fonds de roulement</t>
  </si>
  <si>
    <t>Autres emplois :</t>
  </si>
  <si>
    <t>Total des emplois</t>
  </si>
  <si>
    <t>Ressources de financement</t>
  </si>
  <si>
    <t>Capacité d'autofinancement (Cash Flow)</t>
  </si>
  <si>
    <t>Augmentation des fonds propres</t>
  </si>
  <si>
    <t>Diminution du besoin en fonds de roulement</t>
  </si>
  <si>
    <t>Autres ressources :</t>
  </si>
  <si>
    <t>Total des ressources</t>
  </si>
  <si>
    <t>Trésorerie début d'exercice</t>
  </si>
  <si>
    <t>Flux de trésorerie annuel</t>
  </si>
  <si>
    <t>Trésorerie fin d'exercice</t>
  </si>
  <si>
    <t>Montant annuel N</t>
  </si>
  <si>
    <t>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</si>
</sst>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_-* #,##0\ [$€-1]_-;\-* #,##0\ [$€-1]_-;_-* &quot;-&quot;??\ [$€-1]_-"/>
    <numFmt numFmtId="166" formatCode="0.0"/>
    <numFmt numFmtId="167" formatCode="#,##0.0"/>
    <numFmt numFmtId="168" formatCode="0.0%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20">
    <font>
      <sz val="10"/>
      <name val="Arial"/>
      <family val="0"/>
    </font>
    <font>
      <sz val="8"/>
      <name val="Helv"/>
      <family val="0"/>
    </font>
    <font>
      <sz val="8"/>
      <name val="Arial"/>
      <family val="0"/>
    </font>
    <font>
      <b/>
      <sz val="8"/>
      <color indexed="9"/>
      <name val="Helv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4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4"/>
      <color indexed="52"/>
      <name val="Arial"/>
      <family val="2"/>
    </font>
    <font>
      <b/>
      <sz val="12"/>
      <color indexed="48"/>
      <name val="Arial"/>
      <family val="2"/>
    </font>
    <font>
      <b/>
      <i/>
      <sz val="12"/>
      <color indexed="52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9" fontId="0" fillId="0" borderId="3" xfId="21" applyBorder="1" applyAlignment="1">
      <alignment/>
    </xf>
    <xf numFmtId="0" fontId="5" fillId="0" borderId="3" xfId="0" applyFont="1" applyBorder="1" applyAlignment="1">
      <alignment/>
    </xf>
    <xf numFmtId="9" fontId="0" fillId="0" borderId="3" xfId="0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0" borderId="4" xfId="0" applyNumberFormat="1" applyBorder="1" applyAlignment="1">
      <alignment/>
    </xf>
    <xf numFmtId="3" fontId="3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9" fontId="1" fillId="0" borderId="2" xfId="21" applyFont="1" applyFill="1" applyBorder="1" applyAlignment="1">
      <alignment horizontal="right"/>
    </xf>
    <xf numFmtId="9" fontId="3" fillId="2" borderId="3" xfId="21" applyFont="1" applyFill="1" applyBorder="1" applyAlignment="1">
      <alignment horizontal="right"/>
    </xf>
    <xf numFmtId="168" fontId="1" fillId="0" borderId="2" xfId="21" applyNumberFormat="1" applyFont="1" applyFill="1" applyBorder="1" applyAlignment="1">
      <alignment horizontal="right"/>
    </xf>
    <xf numFmtId="168" fontId="1" fillId="2" borderId="3" xfId="21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8" fontId="1" fillId="2" borderId="1" xfId="21" applyNumberFormat="1" applyFont="1" applyFill="1" applyBorder="1" applyAlignment="1">
      <alignment horizontal="right"/>
    </xf>
    <xf numFmtId="168" fontId="1" fillId="2" borderId="4" xfId="21" applyNumberFormat="1" applyFont="1" applyFill="1" applyBorder="1" applyAlignment="1">
      <alignment horizontal="right"/>
    </xf>
    <xf numFmtId="168" fontId="1" fillId="0" borderId="1" xfId="21" applyNumberFormat="1" applyFont="1" applyFill="1" applyBorder="1" applyAlignment="1">
      <alignment horizontal="right"/>
    </xf>
    <xf numFmtId="168" fontId="1" fillId="0" borderId="4" xfId="21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4" fontId="9" fillId="2" borderId="3" xfId="21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4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15" fillId="0" borderId="0" xfId="0" applyFont="1" applyAlignment="1">
      <alignment/>
    </xf>
    <xf numFmtId="0" fontId="14" fillId="0" borderId="9" xfId="0" applyFont="1" applyBorder="1" applyAlignment="1">
      <alignment/>
    </xf>
    <xf numFmtId="0" fontId="16" fillId="0" borderId="9" xfId="0" applyFont="1" applyBorder="1" applyAlignment="1" applyProtection="1">
      <alignment/>
      <protection locked="0"/>
    </xf>
    <xf numFmtId="0" fontId="13" fillId="0" borderId="9" xfId="0" applyFont="1" applyBorder="1" applyAlignment="1">
      <alignment/>
    </xf>
    <xf numFmtId="0" fontId="12" fillId="0" borderId="10" xfId="0" applyFont="1" applyBorder="1" applyAlignment="1">
      <alignment/>
    </xf>
    <xf numFmtId="3" fontId="12" fillId="3" borderId="11" xfId="0" applyNumberFormat="1" applyFont="1" applyFill="1" applyBorder="1" applyAlignment="1" applyProtection="1">
      <alignment/>
      <protection locked="0"/>
    </xf>
    <xf numFmtId="0" fontId="12" fillId="3" borderId="12" xfId="0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10" fontId="12" fillId="3" borderId="0" xfId="0" applyNumberFormat="1" applyFont="1" applyFill="1" applyBorder="1" applyAlignment="1" applyProtection="1">
      <alignment/>
      <protection locked="0"/>
    </xf>
    <xf numFmtId="0" fontId="18" fillId="0" borderId="13" xfId="0" applyFont="1" applyBorder="1" applyAlignment="1">
      <alignment horizontal="centerContinuous"/>
    </xf>
    <xf numFmtId="0" fontId="12" fillId="0" borderId="14" xfId="0" applyFont="1" applyBorder="1" applyAlignment="1" applyProtection="1">
      <alignment horizontal="centerContinuous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15" xfId="0" applyFont="1" applyBorder="1" applyAlignment="1">
      <alignment/>
    </xf>
    <xf numFmtId="10" fontId="12" fillId="0" borderId="9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3" xfId="0" applyFont="1" applyFill="1" applyBorder="1" applyAlignment="1">
      <alignment/>
    </xf>
    <xf numFmtId="3" fontId="12" fillId="3" borderId="2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 applyProtection="1">
      <alignment horizontal="right"/>
      <protection locked="0"/>
    </xf>
    <xf numFmtId="3" fontId="12" fillId="3" borderId="1" xfId="0" applyNumberFormat="1" applyFont="1" applyFill="1" applyBorder="1" applyAlignment="1" applyProtection="1">
      <alignment/>
      <protection locked="0"/>
    </xf>
    <xf numFmtId="0" fontId="12" fillId="3" borderId="13" xfId="0" applyFont="1" applyFill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0" fontId="12" fillId="0" borderId="13" xfId="0" applyFont="1" applyBorder="1" applyAlignment="1">
      <alignment horizontal="right"/>
    </xf>
    <xf numFmtId="3" fontId="12" fillId="0" borderId="2" xfId="0" applyNumberFormat="1" applyFont="1" applyBorder="1" applyAlignment="1" applyProtection="1">
      <alignment/>
      <protection locked="0"/>
    </xf>
    <xf numFmtId="3" fontId="12" fillId="3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12" fillId="3" borderId="4" xfId="0" applyNumberFormat="1" applyFont="1" applyFill="1" applyBorder="1" applyAlignment="1" applyProtection="1">
      <alignment/>
      <protection locked="0"/>
    </xf>
    <xf numFmtId="3" fontId="12" fillId="0" borderId="4" xfId="0" applyNumberFormat="1" applyFont="1" applyBorder="1" applyAlignment="1" applyProtection="1">
      <alignment/>
      <protection locked="0"/>
    </xf>
    <xf numFmtId="0" fontId="12" fillId="0" borderId="5" xfId="0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0" fontId="0" fillId="0" borderId="3" xfId="0" applyBorder="1" applyAlignment="1">
      <alignment horizontal="center"/>
    </xf>
    <xf numFmtId="3" fontId="12" fillId="0" borderId="3" xfId="0" applyNumberFormat="1" applyFont="1" applyBorder="1" applyAlignment="1" applyProtection="1">
      <alignment/>
      <protection locked="0"/>
    </xf>
    <xf numFmtId="3" fontId="12" fillId="3" borderId="0" xfId="0" applyNumberFormat="1" applyFont="1" applyFill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8" fillId="0" borderId="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4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9" fontId="1" fillId="0" borderId="1" xfId="2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9" fontId="1" fillId="0" borderId="4" xfId="2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4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3" fontId="12" fillId="4" borderId="3" xfId="0" applyNumberFormat="1" applyFont="1" applyFill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2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9" fontId="3" fillId="2" borderId="4" xfId="21" applyFont="1" applyFill="1" applyBorder="1" applyAlignment="1">
      <alignment horizontal="right"/>
    </xf>
    <xf numFmtId="4" fontId="2" fillId="2" borderId="3" xfId="21" applyNumberFormat="1" applyFont="1" applyFill="1" applyBorder="1" applyAlignment="1">
      <alignment/>
    </xf>
    <xf numFmtId="0" fontId="8" fillId="2" borderId="0" xfId="0" applyFont="1" applyFill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5</xdr:col>
      <xdr:colOff>19050</xdr:colOff>
      <xdr:row>11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295275" y="104775"/>
          <a:ext cx="5467350" cy="18383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nvestissement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immobilier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est réalisé par une SCI pour un montant de 19 millions €. Les investisseurs ont fixé le loyer à 8% du montant de l'investissement de départ. Il devrait augmenter de 3% par an.
Les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aménagements, le matériel et le mobilier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sont financés par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société d'exploitation du Golfe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dont on réalise le business plan :
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Aménagements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2,5 millions € amortissables sur 10 ans
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Matériel et mobilier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2,5 millions € amortissables sur 5 ans
Le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financement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société d'exploitation est assuré par apport en capital et par un emprunt  bancaire à hauteur de 60% de l'investissement réalisé au taux de 5% sur 7 ans.
Le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fonds de roulement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départ est estimé à 50 000 €.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Tous les calculs seront arrondis à l'€ le plus proche.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3</xdr:row>
      <xdr:rowOff>28575</xdr:rowOff>
    </xdr:from>
    <xdr:to>
      <xdr:col>11</xdr:col>
      <xdr:colOff>638175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29400" y="514350"/>
          <a:ext cx="2581275" cy="11049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taux de l'impôt sur les bénéfices est de 33%.
Les pertes éventuelles d'un exercice sont déductibles des bénéfices avant impôt des exercices suivants pour le calcul de l'impôt sur les bénéfices</a:t>
          </a:r>
        </a:p>
      </xdr:txBody>
    </xdr:sp>
    <xdr:clientData/>
  </xdr:twoCellAnchor>
  <xdr:twoCellAnchor>
    <xdr:from>
      <xdr:col>8</xdr:col>
      <xdr:colOff>504825</xdr:colOff>
      <xdr:row>29</xdr:row>
      <xdr:rowOff>57150</xdr:rowOff>
    </xdr:from>
    <xdr:to>
      <xdr:col>11</xdr:col>
      <xdr:colOff>419100</xdr:colOff>
      <xdr:row>33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791325" y="4752975"/>
          <a:ext cx="2200275" cy="647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Impôt sur les bénéfices N+2 
(185395 + 218313 - 282907) x 33%
= 39 864 €
</a:t>
          </a:r>
        </a:p>
      </xdr:txBody>
    </xdr:sp>
    <xdr:clientData/>
  </xdr:twoCellAnchor>
  <xdr:twoCellAnchor>
    <xdr:from>
      <xdr:col>6</xdr:col>
      <xdr:colOff>742950</xdr:colOff>
      <xdr:row>31</xdr:row>
      <xdr:rowOff>57150</xdr:rowOff>
    </xdr:from>
    <xdr:to>
      <xdr:col>8</xdr:col>
      <xdr:colOff>476250</xdr:colOff>
      <xdr:row>43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5505450" y="5076825"/>
          <a:ext cx="12573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38100</xdr:rowOff>
    </xdr:from>
    <xdr:to>
      <xdr:col>4</xdr:col>
      <xdr:colOff>714375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200025"/>
          <a:ext cx="5534025" cy="4572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besoin en fonds de roulement est considéré comme stable et donc égal au fonds de roulement de départ.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Y36"/>
  <sheetViews>
    <sheetView showZeros="0" tabSelected="1" workbookViewId="0" topLeftCell="A1">
      <selection activeCell="I32" sqref="I32"/>
    </sheetView>
  </sheetViews>
  <sheetFormatPr defaultColWidth="11.421875" defaultRowHeight="12.75"/>
  <cols>
    <col min="1" max="1" width="4.421875" style="0" customWidth="1"/>
    <col min="2" max="2" width="32.7109375" style="0" customWidth="1"/>
    <col min="4" max="4" width="26.140625" style="0" customWidth="1"/>
    <col min="6" max="6" width="6.28125" style="0" customWidth="1"/>
    <col min="7" max="7" width="19.57421875" style="0" customWidth="1"/>
    <col min="8" max="8" width="11.57421875" style="0" bestFit="1" customWidth="1"/>
    <col min="9" max="9" width="12.57421875" style="0" customWidth="1"/>
    <col min="10" max="10" width="14.8515625" style="0" customWidth="1"/>
    <col min="11" max="11" width="13.421875" style="0" customWidth="1"/>
  </cols>
  <sheetData>
    <row r="9" spans="1:25" ht="15">
      <c r="A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18">
      <c r="A10" s="56"/>
      <c r="G10" s="57" t="s">
        <v>84</v>
      </c>
      <c r="H10" s="58"/>
      <c r="I10" s="58"/>
      <c r="J10" s="58"/>
      <c r="K10" s="5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5">
      <c r="A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11" ht="15.75">
      <c r="A12" s="56"/>
      <c r="G12" s="59" t="s">
        <v>85</v>
      </c>
      <c r="H12" s="56"/>
      <c r="I12" s="56"/>
      <c r="J12" s="56"/>
      <c r="K12" s="56"/>
    </row>
    <row r="13" spans="1:11" ht="18">
      <c r="A13" s="56"/>
      <c r="B13" s="60" t="s">
        <v>86</v>
      </c>
      <c r="C13" s="61"/>
      <c r="D13" s="62"/>
      <c r="E13" s="62"/>
      <c r="G13" s="63" t="s">
        <v>87</v>
      </c>
      <c r="H13" s="64">
        <f>E24</f>
        <v>3030000</v>
      </c>
      <c r="I13" s="63" t="s">
        <v>88</v>
      </c>
      <c r="J13" s="65">
        <v>7</v>
      </c>
      <c r="K13" s="56"/>
    </row>
    <row r="14" spans="2:11" s="66" customFormat="1" ht="18">
      <c r="B14" s="67"/>
      <c r="C14" s="67"/>
      <c r="D14" s="67"/>
      <c r="E14" s="67"/>
      <c r="G14" s="68" t="s">
        <v>89</v>
      </c>
      <c r="H14" s="69">
        <v>0.05</v>
      </c>
      <c r="I14" s="70" t="s">
        <v>90</v>
      </c>
      <c r="J14" s="71"/>
      <c r="K14" s="56"/>
    </row>
    <row r="15" spans="2:11" ht="15.75">
      <c r="B15" s="72" t="s">
        <v>91</v>
      </c>
      <c r="C15" s="72"/>
      <c r="D15" s="73" t="s">
        <v>93</v>
      </c>
      <c r="E15" s="74"/>
      <c r="G15" s="75"/>
      <c r="H15" s="76"/>
      <c r="I15" s="75"/>
      <c r="J15" s="77"/>
      <c r="K15" s="56"/>
    </row>
    <row r="16" spans="2:11" ht="15.75">
      <c r="B16" s="78" t="s">
        <v>94</v>
      </c>
      <c r="C16" s="114"/>
      <c r="D16" s="79" t="s">
        <v>95</v>
      </c>
      <c r="E16" s="80"/>
      <c r="G16" s="81" t="s">
        <v>96</v>
      </c>
      <c r="H16" s="82" t="s">
        <v>97</v>
      </c>
      <c r="I16" s="115" t="s">
        <v>98</v>
      </c>
      <c r="J16" s="116" t="s">
        <v>99</v>
      </c>
      <c r="K16" s="117" t="s">
        <v>100</v>
      </c>
    </row>
    <row r="17" spans="2:11" ht="15">
      <c r="B17" s="83" t="s">
        <v>114</v>
      </c>
      <c r="C17" s="84">
        <v>2500000</v>
      </c>
      <c r="D17" s="85" t="s">
        <v>101</v>
      </c>
      <c r="E17" s="84">
        <f>C28-E24</f>
        <v>2020000</v>
      </c>
      <c r="G17" s="86">
        <v>1</v>
      </c>
      <c r="H17" s="121">
        <v>523644.05</v>
      </c>
      <c r="I17" s="122">
        <v>151500</v>
      </c>
      <c r="J17" s="122">
        <v>372144.05</v>
      </c>
      <c r="K17" s="123">
        <v>2657855.95</v>
      </c>
    </row>
    <row r="18" spans="2:11" ht="15">
      <c r="B18" s="83" t="s">
        <v>115</v>
      </c>
      <c r="C18" s="84">
        <v>2500000</v>
      </c>
      <c r="D18" s="85" t="s">
        <v>102</v>
      </c>
      <c r="E18" s="84"/>
      <c r="G18" s="87">
        <v>2</v>
      </c>
      <c r="H18" s="124">
        <v>523644.05</v>
      </c>
      <c r="I18" s="125">
        <v>132892.8</v>
      </c>
      <c r="J18" s="125">
        <v>390751.25</v>
      </c>
      <c r="K18" s="126">
        <v>2267104.7</v>
      </c>
    </row>
    <row r="19" spans="2:11" ht="15">
      <c r="B19" s="83"/>
      <c r="C19" s="84"/>
      <c r="D19" s="85" t="s">
        <v>113</v>
      </c>
      <c r="E19" s="84"/>
      <c r="G19" s="90">
        <v>3</v>
      </c>
      <c r="H19" s="127">
        <v>523644.05</v>
      </c>
      <c r="I19" s="128">
        <v>113355.24</v>
      </c>
      <c r="J19" s="128">
        <v>410288.81</v>
      </c>
      <c r="K19" s="129">
        <v>1856815.89</v>
      </c>
    </row>
    <row r="20" spans="2:11" ht="15">
      <c r="B20" s="83"/>
      <c r="C20" s="84"/>
      <c r="D20" s="85" t="s">
        <v>103</v>
      </c>
      <c r="E20" s="84"/>
      <c r="G20" s="92"/>
      <c r="H20" s="89"/>
      <c r="I20" s="89"/>
      <c r="J20" s="89"/>
      <c r="K20" s="89"/>
    </row>
    <row r="21" spans="2:11" ht="15.75">
      <c r="B21" s="83"/>
      <c r="C21" s="84"/>
      <c r="D21" s="85" t="s">
        <v>103</v>
      </c>
      <c r="E21" s="84"/>
      <c r="G21" s="93" t="s">
        <v>104</v>
      </c>
      <c r="H21" s="58"/>
      <c r="I21" s="58"/>
      <c r="J21" s="89"/>
      <c r="K21" s="89"/>
    </row>
    <row r="22" spans="2:11" ht="15">
      <c r="B22" s="83"/>
      <c r="C22" s="84"/>
      <c r="D22" s="94" t="s">
        <v>42</v>
      </c>
      <c r="E22" s="88">
        <f>SUM(E17:E21)</f>
        <v>2020000</v>
      </c>
      <c r="J22" s="67"/>
      <c r="K22" s="67"/>
    </row>
    <row r="23" spans="2:11" ht="15.75">
      <c r="B23" s="83"/>
      <c r="C23" s="84"/>
      <c r="D23" s="79" t="s">
        <v>105</v>
      </c>
      <c r="E23" s="88"/>
      <c r="G23" s="95" t="s">
        <v>106</v>
      </c>
      <c r="H23" s="95" t="s">
        <v>92</v>
      </c>
      <c r="I23" s="95" t="s">
        <v>107</v>
      </c>
      <c r="J23" s="96"/>
      <c r="K23" s="67"/>
    </row>
    <row r="24" spans="2:11" ht="15">
      <c r="B24" s="83"/>
      <c r="C24" s="84"/>
      <c r="D24" s="85" t="s">
        <v>108</v>
      </c>
      <c r="E24" s="84">
        <f>C28*60%</f>
        <v>3030000</v>
      </c>
      <c r="G24" s="97">
        <f>C17</f>
        <v>2500000</v>
      </c>
      <c r="H24" s="98">
        <v>10</v>
      </c>
      <c r="I24" s="99">
        <f>G24/H24</f>
        <v>250000</v>
      </c>
      <c r="J24" s="96"/>
      <c r="K24" s="67"/>
    </row>
    <row r="25" spans="2:11" ht="15">
      <c r="B25" s="100" t="s">
        <v>42</v>
      </c>
      <c r="C25" s="88">
        <f>SUM(C17:C24)</f>
        <v>5000000</v>
      </c>
      <c r="D25" s="85"/>
      <c r="E25" s="84"/>
      <c r="G25" s="84">
        <f>C18</f>
        <v>2500000</v>
      </c>
      <c r="H25" s="98">
        <v>5</v>
      </c>
      <c r="I25" s="101">
        <f>G25/H25</f>
        <v>500000</v>
      </c>
      <c r="J25" s="67"/>
      <c r="K25" s="67"/>
    </row>
    <row r="26" spans="2:11" ht="15.75">
      <c r="B26" s="78" t="s">
        <v>109</v>
      </c>
      <c r="C26" s="102">
        <v>50000</v>
      </c>
      <c r="D26" s="67" t="s">
        <v>103</v>
      </c>
      <c r="E26" s="101"/>
      <c r="G26" s="84"/>
      <c r="H26" s="98"/>
      <c r="I26" s="101"/>
      <c r="J26" s="103"/>
      <c r="K26" s="92"/>
    </row>
    <row r="27" spans="2:11" ht="15">
      <c r="B27" s="68"/>
      <c r="C27" s="91"/>
      <c r="D27" s="94" t="s">
        <v>42</v>
      </c>
      <c r="E27" s="88">
        <f>SUM(E24:E26)</f>
        <v>3030000</v>
      </c>
      <c r="G27" s="104"/>
      <c r="H27" s="98"/>
      <c r="I27" s="105"/>
      <c r="J27" s="89"/>
      <c r="K27" s="89"/>
    </row>
    <row r="28" spans="2:11" ht="15">
      <c r="B28" s="106" t="s">
        <v>110</v>
      </c>
      <c r="C28" s="107">
        <f>C25+C26</f>
        <v>5050000</v>
      </c>
      <c r="D28" s="108" t="s">
        <v>111</v>
      </c>
      <c r="E28" s="107">
        <f>E27+E22</f>
        <v>5050000</v>
      </c>
      <c r="H28" s="109" t="s">
        <v>42</v>
      </c>
      <c r="I28" s="110">
        <f>SUM(I24:I27)</f>
        <v>750000</v>
      </c>
      <c r="J28" s="89"/>
      <c r="K28" s="89"/>
    </row>
    <row r="30" spans="7:9" ht="15.75">
      <c r="G30" s="93" t="s">
        <v>112</v>
      </c>
      <c r="H30" s="58"/>
      <c r="I30" s="58"/>
    </row>
    <row r="32" spans="7:9" ht="15">
      <c r="G32" s="56" t="s">
        <v>138</v>
      </c>
      <c r="I32" s="111">
        <f>19000000*8%</f>
        <v>1520000</v>
      </c>
    </row>
    <row r="34" spans="7:9" ht="15.75">
      <c r="G34" s="112"/>
      <c r="H34" s="5"/>
      <c r="I34" s="5"/>
    </row>
    <row r="35" spans="7:9" ht="12.75">
      <c r="G35" s="5"/>
      <c r="H35" s="5"/>
      <c r="I35" s="5"/>
    </row>
    <row r="36" spans="7:9" ht="15">
      <c r="G36" s="113"/>
      <c r="H36" s="5"/>
      <c r="I36" s="5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7" r:id="rId2"/>
  <headerFooter alignWithMargins="0">
    <oddHeader>&amp;CEtude de faisabilité financière</oddHeader>
    <oddFooter>&amp;L&amp;A&amp;REcole de Savignac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2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9.28125" style="0" customWidth="1"/>
  </cols>
  <sheetData>
    <row r="2" spans="2:15" ht="12.75">
      <c r="B2" s="8" t="s">
        <v>72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27" ht="12.75">
      <c r="B3" s="21"/>
      <c r="C3" s="22" t="s">
        <v>30</v>
      </c>
      <c r="D3" s="22" t="s">
        <v>31</v>
      </c>
      <c r="E3" s="22" t="s">
        <v>32</v>
      </c>
      <c r="F3" s="22" t="s">
        <v>33</v>
      </c>
      <c r="G3" s="22" t="s">
        <v>34</v>
      </c>
      <c r="H3" s="22" t="s">
        <v>35</v>
      </c>
      <c r="I3" s="22" t="s">
        <v>36</v>
      </c>
      <c r="J3" s="22" t="s">
        <v>37</v>
      </c>
      <c r="K3" s="22" t="s">
        <v>38</v>
      </c>
      <c r="L3" s="22" t="s">
        <v>39</v>
      </c>
      <c r="M3" s="22" t="s">
        <v>40</v>
      </c>
      <c r="N3" s="22" t="s">
        <v>41</v>
      </c>
      <c r="O3" s="22" t="s">
        <v>42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2.75">
      <c r="B4" s="25" t="s">
        <v>60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2.75">
      <c r="B5" s="23" t="s">
        <v>68</v>
      </c>
      <c r="C5" s="24">
        <v>31</v>
      </c>
      <c r="D5" s="24">
        <v>28</v>
      </c>
      <c r="E5" s="24">
        <v>31</v>
      </c>
      <c r="F5" s="24">
        <v>30</v>
      </c>
      <c r="G5" s="24">
        <v>31</v>
      </c>
      <c r="H5" s="24">
        <v>30</v>
      </c>
      <c r="I5" s="24">
        <v>31</v>
      </c>
      <c r="J5" s="24">
        <v>31</v>
      </c>
      <c r="K5" s="24">
        <v>30</v>
      </c>
      <c r="L5" s="24">
        <v>31</v>
      </c>
      <c r="M5" s="24">
        <v>30</v>
      </c>
      <c r="N5" s="24">
        <v>31</v>
      </c>
      <c r="O5" s="24">
        <f>SUM(C5:N5)</f>
        <v>365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15" ht="12.75">
      <c r="B6" s="12" t="s">
        <v>43</v>
      </c>
      <c r="C6" s="11">
        <v>150</v>
      </c>
      <c r="D6" s="11">
        <v>150</v>
      </c>
      <c r="E6" s="11">
        <v>150</v>
      </c>
      <c r="F6" s="11">
        <v>150</v>
      </c>
      <c r="G6" s="11">
        <v>150</v>
      </c>
      <c r="H6" s="11">
        <v>150</v>
      </c>
      <c r="I6" s="11">
        <v>150</v>
      </c>
      <c r="J6" s="11">
        <v>150</v>
      </c>
      <c r="K6" s="11">
        <v>150</v>
      </c>
      <c r="L6" s="11">
        <v>150</v>
      </c>
      <c r="M6" s="11">
        <v>150</v>
      </c>
      <c r="N6" s="11">
        <v>150</v>
      </c>
      <c r="O6" s="11"/>
    </row>
    <row r="7" spans="2:15" ht="12.75">
      <c r="B7" s="11" t="s">
        <v>44</v>
      </c>
      <c r="C7" s="11">
        <v>1442</v>
      </c>
      <c r="D7" s="11">
        <v>1722</v>
      </c>
      <c r="E7" s="11">
        <v>1682</v>
      </c>
      <c r="F7" s="11">
        <v>1995</v>
      </c>
      <c r="G7" s="11">
        <v>3182</v>
      </c>
      <c r="H7" s="11">
        <v>3795</v>
      </c>
      <c r="I7" s="11">
        <v>4082</v>
      </c>
      <c r="J7" s="11">
        <v>4082</v>
      </c>
      <c r="K7" s="11">
        <v>3195</v>
      </c>
      <c r="L7" s="11">
        <v>2582</v>
      </c>
      <c r="M7" s="11">
        <v>1995</v>
      </c>
      <c r="N7" s="11">
        <v>2132</v>
      </c>
      <c r="O7" s="11">
        <f>SUM(C7:N7)</f>
        <v>31886</v>
      </c>
    </row>
    <row r="8" spans="2:15" ht="12.75">
      <c r="B8" s="11" t="s">
        <v>49</v>
      </c>
      <c r="C8" s="11">
        <v>2797</v>
      </c>
      <c r="D8" s="11">
        <v>3341</v>
      </c>
      <c r="E8" s="11">
        <v>3263</v>
      </c>
      <c r="F8" s="11">
        <v>3870</v>
      </c>
      <c r="G8" s="11">
        <v>6173</v>
      </c>
      <c r="H8" s="11">
        <v>7362</v>
      </c>
      <c r="I8" s="11">
        <v>7919</v>
      </c>
      <c r="J8" s="11">
        <v>7919</v>
      </c>
      <c r="K8" s="11">
        <v>6198</v>
      </c>
      <c r="L8" s="11">
        <v>5009</v>
      </c>
      <c r="M8" s="11">
        <v>3870</v>
      </c>
      <c r="N8" s="11">
        <v>4136</v>
      </c>
      <c r="O8" s="11">
        <f>SUM(C8:N8)</f>
        <v>61857</v>
      </c>
    </row>
    <row r="9" spans="2:15" ht="12.75">
      <c r="B9" s="11" t="s">
        <v>47</v>
      </c>
      <c r="C9" s="11">
        <v>160</v>
      </c>
      <c r="D9" s="11">
        <v>160</v>
      </c>
      <c r="E9" s="11">
        <v>160</v>
      </c>
      <c r="F9" s="11">
        <v>160</v>
      </c>
      <c r="G9" s="11">
        <v>200</v>
      </c>
      <c r="H9" s="11">
        <v>200</v>
      </c>
      <c r="I9" s="11">
        <v>250</v>
      </c>
      <c r="J9" s="11">
        <v>250</v>
      </c>
      <c r="K9" s="11">
        <v>200</v>
      </c>
      <c r="L9" s="11">
        <v>160</v>
      </c>
      <c r="M9" s="11">
        <v>160</v>
      </c>
      <c r="N9" s="11">
        <v>160</v>
      </c>
      <c r="O9" s="13">
        <f>ROUND(O12/O7,0)</f>
        <v>196</v>
      </c>
    </row>
    <row r="10" spans="2:15" ht="12.75">
      <c r="B10" s="11" t="s">
        <v>45</v>
      </c>
      <c r="C10" s="14">
        <f>C7/(C6*C5)</f>
        <v>0.31010752688172044</v>
      </c>
      <c r="D10" s="14">
        <f aca="true" t="shared" si="0" ref="D10:N10">D7/(D6*D5)</f>
        <v>0.41</v>
      </c>
      <c r="E10" s="14">
        <f t="shared" si="0"/>
        <v>0.36172043010752686</v>
      </c>
      <c r="F10" s="14">
        <f t="shared" si="0"/>
        <v>0.44333333333333336</v>
      </c>
      <c r="G10" s="14">
        <f t="shared" si="0"/>
        <v>0.6843010752688172</v>
      </c>
      <c r="H10" s="14">
        <f t="shared" si="0"/>
        <v>0.8433333333333334</v>
      </c>
      <c r="I10" s="14">
        <f t="shared" si="0"/>
        <v>0.8778494623655914</v>
      </c>
      <c r="J10" s="14">
        <f t="shared" si="0"/>
        <v>0.8778494623655914</v>
      </c>
      <c r="K10" s="14">
        <f t="shared" si="0"/>
        <v>0.71</v>
      </c>
      <c r="L10" s="14">
        <f t="shared" si="0"/>
        <v>0.5552688172043011</v>
      </c>
      <c r="M10" s="14">
        <f t="shared" si="0"/>
        <v>0.44333333333333336</v>
      </c>
      <c r="N10" s="14">
        <f t="shared" si="0"/>
        <v>0.458494623655914</v>
      </c>
      <c r="O10" s="14">
        <f>O7/(N6*O5)</f>
        <v>0.5823926940639269</v>
      </c>
    </row>
    <row r="11" spans="2:15" ht="12.75">
      <c r="B11" s="11" t="s">
        <v>46</v>
      </c>
      <c r="C11" s="11">
        <f>ROUND(C10*C9,0)</f>
        <v>50</v>
      </c>
      <c r="D11" s="11">
        <f aca="true" t="shared" si="1" ref="D11:O11">ROUND(D10*D9,0)</f>
        <v>66</v>
      </c>
      <c r="E11" s="11">
        <f t="shared" si="1"/>
        <v>58</v>
      </c>
      <c r="F11" s="11">
        <f t="shared" si="1"/>
        <v>71</v>
      </c>
      <c r="G11" s="11">
        <f t="shared" si="1"/>
        <v>137</v>
      </c>
      <c r="H11" s="11">
        <f t="shared" si="1"/>
        <v>169</v>
      </c>
      <c r="I11" s="11">
        <f t="shared" si="1"/>
        <v>219</v>
      </c>
      <c r="J11" s="11">
        <f t="shared" si="1"/>
        <v>219</v>
      </c>
      <c r="K11" s="11">
        <f t="shared" si="1"/>
        <v>142</v>
      </c>
      <c r="L11" s="11">
        <f t="shared" si="1"/>
        <v>89</v>
      </c>
      <c r="M11" s="11">
        <f t="shared" si="1"/>
        <v>71</v>
      </c>
      <c r="N11" s="11">
        <f t="shared" si="1"/>
        <v>73</v>
      </c>
      <c r="O11" s="11">
        <f t="shared" si="1"/>
        <v>114</v>
      </c>
    </row>
    <row r="12" spans="2:15" s="7" customFormat="1" ht="12.75">
      <c r="B12" s="28" t="s">
        <v>48</v>
      </c>
      <c r="C12" s="28">
        <f>C7*C9</f>
        <v>230720</v>
      </c>
      <c r="D12" s="28">
        <f aca="true" t="shared" si="2" ref="D12:N12">D7*D9</f>
        <v>275520</v>
      </c>
      <c r="E12" s="28">
        <f t="shared" si="2"/>
        <v>269120</v>
      </c>
      <c r="F12" s="28">
        <f t="shared" si="2"/>
        <v>319200</v>
      </c>
      <c r="G12" s="28">
        <f t="shared" si="2"/>
        <v>636400</v>
      </c>
      <c r="H12" s="28">
        <f t="shared" si="2"/>
        <v>759000</v>
      </c>
      <c r="I12" s="28">
        <f t="shared" si="2"/>
        <v>1020500</v>
      </c>
      <c r="J12" s="28">
        <f t="shared" si="2"/>
        <v>1020500</v>
      </c>
      <c r="K12" s="28">
        <f t="shared" si="2"/>
        <v>639000</v>
      </c>
      <c r="L12" s="28">
        <f t="shared" si="2"/>
        <v>413120</v>
      </c>
      <c r="M12" s="28">
        <f t="shared" si="2"/>
        <v>319200</v>
      </c>
      <c r="N12" s="28">
        <f t="shared" si="2"/>
        <v>341120</v>
      </c>
      <c r="O12" s="28">
        <f>SUM(C12:N12)</f>
        <v>6243400</v>
      </c>
    </row>
    <row r="13" spans="2:15" ht="12.75">
      <c r="B13" s="25" t="s">
        <v>61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2:15" ht="12.75">
      <c r="B14" s="29" t="s">
        <v>50</v>
      </c>
      <c r="C14" s="29">
        <v>200</v>
      </c>
      <c r="D14" s="29">
        <v>200</v>
      </c>
      <c r="E14" s="29">
        <v>200</v>
      </c>
      <c r="F14" s="29">
        <v>200</v>
      </c>
      <c r="G14" s="29">
        <v>200</v>
      </c>
      <c r="H14" s="29">
        <v>200</v>
      </c>
      <c r="I14" s="29">
        <v>200</v>
      </c>
      <c r="J14" s="29">
        <v>200</v>
      </c>
      <c r="K14" s="29">
        <v>200</v>
      </c>
      <c r="L14" s="29">
        <v>200</v>
      </c>
      <c r="M14" s="29">
        <v>200</v>
      </c>
      <c r="N14" s="29">
        <v>200</v>
      </c>
      <c r="O14" s="29"/>
    </row>
    <row r="15" spans="2:15" ht="12.75">
      <c r="B15" s="11" t="s">
        <v>51</v>
      </c>
      <c r="C15" s="11">
        <v>600</v>
      </c>
      <c r="D15" s="11">
        <v>600</v>
      </c>
      <c r="E15" s="11">
        <v>600</v>
      </c>
      <c r="F15" s="11">
        <v>600</v>
      </c>
      <c r="G15" s="11">
        <v>600</v>
      </c>
      <c r="H15" s="11">
        <v>500</v>
      </c>
      <c r="I15" s="11">
        <v>400</v>
      </c>
      <c r="J15" s="11">
        <v>400</v>
      </c>
      <c r="K15" s="11">
        <v>500</v>
      </c>
      <c r="L15" s="11">
        <v>600</v>
      </c>
      <c r="M15" s="11">
        <v>600</v>
      </c>
      <c r="N15" s="11">
        <v>600</v>
      </c>
      <c r="O15" s="11">
        <f>SUM(C15:N15)</f>
        <v>6600</v>
      </c>
    </row>
    <row r="16" spans="2:15" ht="12.75">
      <c r="B16" s="11" t="s">
        <v>69</v>
      </c>
      <c r="C16" s="11">
        <v>28</v>
      </c>
      <c r="D16" s="11">
        <v>28</v>
      </c>
      <c r="E16" s="11">
        <v>28</v>
      </c>
      <c r="F16" s="11">
        <v>28</v>
      </c>
      <c r="G16" s="11">
        <v>30</v>
      </c>
      <c r="H16" s="11">
        <v>30</v>
      </c>
      <c r="I16" s="11">
        <v>30</v>
      </c>
      <c r="J16" s="11">
        <v>30</v>
      </c>
      <c r="K16" s="11">
        <v>28</v>
      </c>
      <c r="L16" s="11">
        <v>28</v>
      </c>
      <c r="M16" s="11">
        <v>28</v>
      </c>
      <c r="N16" s="11">
        <v>28</v>
      </c>
      <c r="O16" s="11"/>
    </row>
    <row r="17" spans="2:15" ht="12.75">
      <c r="B17" s="11" t="s">
        <v>53</v>
      </c>
      <c r="C17" s="16">
        <v>0.55</v>
      </c>
      <c r="D17" s="16">
        <v>0.55</v>
      </c>
      <c r="E17" s="16">
        <v>0.55</v>
      </c>
      <c r="F17" s="16">
        <v>0.55</v>
      </c>
      <c r="G17" s="16">
        <v>0.55</v>
      </c>
      <c r="H17" s="16">
        <v>0.65</v>
      </c>
      <c r="I17" s="16">
        <v>0.75</v>
      </c>
      <c r="J17" s="16">
        <v>0.75</v>
      </c>
      <c r="K17" s="16">
        <v>0.65</v>
      </c>
      <c r="L17" s="16">
        <v>0.65</v>
      </c>
      <c r="M17" s="16">
        <v>0.65</v>
      </c>
      <c r="N17" s="16">
        <v>0.65</v>
      </c>
      <c r="O17" s="11"/>
    </row>
    <row r="18" spans="2:15" ht="12.75">
      <c r="B18" s="11" t="s">
        <v>54</v>
      </c>
      <c r="C18" s="11">
        <f>ROUND(C8*C17,0)</f>
        <v>1538</v>
      </c>
      <c r="D18" s="11">
        <f aca="true" t="shared" si="3" ref="D18:N18">ROUND(D8*D17,0)</f>
        <v>1838</v>
      </c>
      <c r="E18" s="11">
        <f t="shared" si="3"/>
        <v>1795</v>
      </c>
      <c r="F18" s="11">
        <f t="shared" si="3"/>
        <v>2129</v>
      </c>
      <c r="G18" s="11">
        <f t="shared" si="3"/>
        <v>3395</v>
      </c>
      <c r="H18" s="11">
        <f t="shared" si="3"/>
        <v>4785</v>
      </c>
      <c r="I18" s="11">
        <f t="shared" si="3"/>
        <v>5939</v>
      </c>
      <c r="J18" s="11">
        <f t="shared" si="3"/>
        <v>5939</v>
      </c>
      <c r="K18" s="11">
        <f t="shared" si="3"/>
        <v>4029</v>
      </c>
      <c r="L18" s="11">
        <f t="shared" si="3"/>
        <v>3256</v>
      </c>
      <c r="M18" s="11">
        <f t="shared" si="3"/>
        <v>2516</v>
      </c>
      <c r="N18" s="11">
        <f t="shared" si="3"/>
        <v>2688</v>
      </c>
      <c r="O18" s="11">
        <f>SUM(C18:N18)</f>
        <v>39847</v>
      </c>
    </row>
    <row r="19" spans="2:15" ht="12.75">
      <c r="B19" s="11" t="s">
        <v>70</v>
      </c>
      <c r="C19" s="11">
        <v>20</v>
      </c>
      <c r="D19" s="11">
        <v>20</v>
      </c>
      <c r="E19" s="11">
        <v>20</v>
      </c>
      <c r="F19" s="11">
        <v>20</v>
      </c>
      <c r="G19" s="11">
        <v>22</v>
      </c>
      <c r="H19" s="11">
        <v>22</v>
      </c>
      <c r="I19" s="11">
        <v>22</v>
      </c>
      <c r="J19" s="11">
        <v>22</v>
      </c>
      <c r="K19" s="11">
        <v>22</v>
      </c>
      <c r="L19" s="11">
        <v>20</v>
      </c>
      <c r="M19" s="11">
        <v>20</v>
      </c>
      <c r="N19" s="11">
        <v>20</v>
      </c>
      <c r="O19" s="11"/>
    </row>
    <row r="20" spans="2:15" s="7" customFormat="1" ht="12.75">
      <c r="B20" s="28" t="s">
        <v>55</v>
      </c>
      <c r="C20" s="28">
        <f>(C15*C16)+(C18*C19)</f>
        <v>47560</v>
      </c>
      <c r="D20" s="28">
        <f aca="true" t="shared" si="4" ref="D20:N20">(D15*D16)+(D18*D19)</f>
        <v>53560</v>
      </c>
      <c r="E20" s="28">
        <f t="shared" si="4"/>
        <v>52700</v>
      </c>
      <c r="F20" s="28">
        <f t="shared" si="4"/>
        <v>59380</v>
      </c>
      <c r="G20" s="28">
        <f t="shared" si="4"/>
        <v>92690</v>
      </c>
      <c r="H20" s="28">
        <f t="shared" si="4"/>
        <v>120270</v>
      </c>
      <c r="I20" s="28">
        <f t="shared" si="4"/>
        <v>142658</v>
      </c>
      <c r="J20" s="28">
        <f t="shared" si="4"/>
        <v>142658</v>
      </c>
      <c r="K20" s="28">
        <f t="shared" si="4"/>
        <v>102638</v>
      </c>
      <c r="L20" s="28">
        <f t="shared" si="4"/>
        <v>81920</v>
      </c>
      <c r="M20" s="28">
        <f t="shared" si="4"/>
        <v>67120</v>
      </c>
      <c r="N20" s="28">
        <f t="shared" si="4"/>
        <v>70560</v>
      </c>
      <c r="O20" s="28">
        <f>SUM(C20:N20)</f>
        <v>1033714</v>
      </c>
    </row>
    <row r="21" spans="2:15" ht="12.75">
      <c r="B21" s="25" t="s">
        <v>62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2:15" ht="12.75">
      <c r="B22" s="29" t="s">
        <v>56</v>
      </c>
      <c r="C22" s="32">
        <v>0.85</v>
      </c>
      <c r="D22" s="32">
        <v>0.85</v>
      </c>
      <c r="E22" s="32">
        <v>0.85</v>
      </c>
      <c r="F22" s="32">
        <v>0.85</v>
      </c>
      <c r="G22" s="32">
        <v>0.85</v>
      </c>
      <c r="H22" s="32">
        <v>0.9</v>
      </c>
      <c r="I22" s="32">
        <v>0.9</v>
      </c>
      <c r="J22" s="32">
        <v>0.9</v>
      </c>
      <c r="K22" s="32">
        <v>0.85</v>
      </c>
      <c r="L22" s="32">
        <v>0.85</v>
      </c>
      <c r="M22" s="32">
        <v>0.85</v>
      </c>
      <c r="N22" s="32">
        <v>0.85</v>
      </c>
      <c r="O22" s="29"/>
    </row>
    <row r="23" spans="2:15" ht="12.75">
      <c r="B23" s="11" t="s">
        <v>57</v>
      </c>
      <c r="C23" s="11">
        <f>ROUND(C8*C22,0)</f>
        <v>2377</v>
      </c>
      <c r="D23" s="11">
        <f aca="true" t="shared" si="5" ref="D23:N23">ROUND(D8*D22,0)</f>
        <v>2840</v>
      </c>
      <c r="E23" s="11">
        <f t="shared" si="5"/>
        <v>2774</v>
      </c>
      <c r="F23" s="11">
        <f t="shared" si="5"/>
        <v>3290</v>
      </c>
      <c r="G23" s="11">
        <f t="shared" si="5"/>
        <v>5247</v>
      </c>
      <c r="H23" s="11">
        <f t="shared" si="5"/>
        <v>6626</v>
      </c>
      <c r="I23" s="11">
        <f t="shared" si="5"/>
        <v>7127</v>
      </c>
      <c r="J23" s="11">
        <f t="shared" si="5"/>
        <v>7127</v>
      </c>
      <c r="K23" s="11">
        <f t="shared" si="5"/>
        <v>5268</v>
      </c>
      <c r="L23" s="11">
        <f t="shared" si="5"/>
        <v>4258</v>
      </c>
      <c r="M23" s="11">
        <f t="shared" si="5"/>
        <v>3290</v>
      </c>
      <c r="N23" s="11">
        <f t="shared" si="5"/>
        <v>3516</v>
      </c>
      <c r="O23" s="11">
        <f>SUM(C23:N23)</f>
        <v>53740</v>
      </c>
    </row>
    <row r="24" spans="2:15" ht="12.75">
      <c r="B24" s="11" t="s">
        <v>58</v>
      </c>
      <c r="C24" s="11">
        <v>8</v>
      </c>
      <c r="D24" s="11">
        <v>8</v>
      </c>
      <c r="E24" s="11">
        <v>8</v>
      </c>
      <c r="F24" s="11">
        <v>8</v>
      </c>
      <c r="G24" s="11">
        <v>8</v>
      </c>
      <c r="H24" s="11">
        <v>10</v>
      </c>
      <c r="I24" s="11">
        <v>10</v>
      </c>
      <c r="J24" s="11">
        <v>10</v>
      </c>
      <c r="K24" s="11">
        <v>8</v>
      </c>
      <c r="L24" s="11">
        <v>8</v>
      </c>
      <c r="M24" s="11">
        <v>8</v>
      </c>
      <c r="N24" s="11">
        <v>8</v>
      </c>
      <c r="O24" s="11">
        <f>ROUND(O25/O23,0)</f>
        <v>9</v>
      </c>
    </row>
    <row r="25" spans="2:15" s="7" customFormat="1" ht="12.75">
      <c r="B25" s="28" t="s">
        <v>59</v>
      </c>
      <c r="C25" s="28">
        <f>C23*C24</f>
        <v>19016</v>
      </c>
      <c r="D25" s="28">
        <f aca="true" t="shared" si="6" ref="D25:N25">D23*D24</f>
        <v>22720</v>
      </c>
      <c r="E25" s="28">
        <f t="shared" si="6"/>
        <v>22192</v>
      </c>
      <c r="F25" s="28">
        <f t="shared" si="6"/>
        <v>26320</v>
      </c>
      <c r="G25" s="28">
        <f t="shared" si="6"/>
        <v>41976</v>
      </c>
      <c r="H25" s="28">
        <f t="shared" si="6"/>
        <v>66260</v>
      </c>
      <c r="I25" s="28">
        <f t="shared" si="6"/>
        <v>71270</v>
      </c>
      <c r="J25" s="28">
        <f t="shared" si="6"/>
        <v>71270</v>
      </c>
      <c r="K25" s="28">
        <f t="shared" si="6"/>
        <v>42144</v>
      </c>
      <c r="L25" s="28">
        <f t="shared" si="6"/>
        <v>34064</v>
      </c>
      <c r="M25" s="28">
        <f t="shared" si="6"/>
        <v>26320</v>
      </c>
      <c r="N25" s="28">
        <f t="shared" si="6"/>
        <v>28128</v>
      </c>
      <c r="O25" s="28">
        <f>SUM(C25:N25)</f>
        <v>471680</v>
      </c>
    </row>
    <row r="26" spans="2:15" ht="12.75">
      <c r="B26" s="25" t="s">
        <v>63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2:15" ht="12.75">
      <c r="B27" s="29" t="s">
        <v>51</v>
      </c>
      <c r="C27" s="29">
        <v>600</v>
      </c>
      <c r="D27" s="29">
        <v>600</v>
      </c>
      <c r="E27" s="29">
        <v>600</v>
      </c>
      <c r="F27" s="29">
        <v>600</v>
      </c>
      <c r="G27" s="29">
        <v>600</v>
      </c>
      <c r="H27" s="29">
        <v>500</v>
      </c>
      <c r="I27" s="29">
        <v>400</v>
      </c>
      <c r="J27" s="29">
        <v>400</v>
      </c>
      <c r="K27" s="29">
        <v>500</v>
      </c>
      <c r="L27" s="29">
        <v>600</v>
      </c>
      <c r="M27" s="29">
        <v>600</v>
      </c>
      <c r="N27" s="29">
        <v>600</v>
      </c>
      <c r="O27" s="29">
        <f>SUM(C27:N27)</f>
        <v>6600</v>
      </c>
    </row>
    <row r="28" spans="2:15" ht="12.75">
      <c r="B28" s="11" t="s">
        <v>52</v>
      </c>
      <c r="C28" s="11">
        <v>6</v>
      </c>
      <c r="D28" s="11">
        <v>6</v>
      </c>
      <c r="E28" s="11">
        <v>6</v>
      </c>
      <c r="F28" s="11">
        <v>6</v>
      </c>
      <c r="G28" s="11">
        <v>6</v>
      </c>
      <c r="H28" s="11">
        <v>6</v>
      </c>
      <c r="I28" s="11">
        <v>6</v>
      </c>
      <c r="J28" s="11">
        <v>6</v>
      </c>
      <c r="K28" s="11">
        <v>6</v>
      </c>
      <c r="L28" s="11">
        <v>6</v>
      </c>
      <c r="M28" s="11">
        <v>6</v>
      </c>
      <c r="N28" s="11">
        <v>6</v>
      </c>
      <c r="O28" s="11"/>
    </row>
    <row r="29" spans="2:15" ht="12.75">
      <c r="B29" s="11" t="s">
        <v>71</v>
      </c>
      <c r="C29" s="11">
        <v>4</v>
      </c>
      <c r="D29" s="11">
        <v>4</v>
      </c>
      <c r="E29" s="11">
        <v>4</v>
      </c>
      <c r="F29" s="11">
        <v>4</v>
      </c>
      <c r="G29" s="11">
        <v>4</v>
      </c>
      <c r="H29" s="11">
        <v>5</v>
      </c>
      <c r="I29" s="11">
        <v>5</v>
      </c>
      <c r="J29" s="11">
        <v>5</v>
      </c>
      <c r="K29" s="11">
        <v>4</v>
      </c>
      <c r="L29" s="11">
        <v>4</v>
      </c>
      <c r="M29" s="11">
        <v>4</v>
      </c>
      <c r="N29" s="11">
        <v>4</v>
      </c>
      <c r="O29" s="11"/>
    </row>
    <row r="30" spans="2:15" s="7" customFormat="1" ht="12.75">
      <c r="B30" s="15" t="s">
        <v>29</v>
      </c>
      <c r="C30" s="15">
        <f>(C27*C28)+(C8*C29)</f>
        <v>14788</v>
      </c>
      <c r="D30" s="15">
        <f aca="true" t="shared" si="7" ref="D30:N30">(D27*D28)+(D8*D29)</f>
        <v>16964</v>
      </c>
      <c r="E30" s="15">
        <f t="shared" si="7"/>
        <v>16652</v>
      </c>
      <c r="F30" s="15">
        <f t="shared" si="7"/>
        <v>19080</v>
      </c>
      <c r="G30" s="15">
        <f t="shared" si="7"/>
        <v>28292</v>
      </c>
      <c r="H30" s="15">
        <f t="shared" si="7"/>
        <v>39810</v>
      </c>
      <c r="I30" s="15">
        <f t="shared" si="7"/>
        <v>41995</v>
      </c>
      <c r="J30" s="15">
        <f t="shared" si="7"/>
        <v>41995</v>
      </c>
      <c r="K30" s="15">
        <f t="shared" si="7"/>
        <v>27792</v>
      </c>
      <c r="L30" s="15">
        <f t="shared" si="7"/>
        <v>23636</v>
      </c>
      <c r="M30" s="15">
        <f t="shared" si="7"/>
        <v>19080</v>
      </c>
      <c r="N30" s="15">
        <f t="shared" si="7"/>
        <v>20144</v>
      </c>
      <c r="O30" s="15">
        <f>SUM(C30:N30)</f>
        <v>310228</v>
      </c>
    </row>
    <row r="31" spans="2:15" s="7" customFormat="1" ht="12.75">
      <c r="B31" s="18" t="s">
        <v>64</v>
      </c>
      <c r="C31" s="15">
        <v>9000</v>
      </c>
      <c r="D31" s="15">
        <v>10000</v>
      </c>
      <c r="E31" s="15">
        <v>10000</v>
      </c>
      <c r="F31" s="15">
        <v>12000</v>
      </c>
      <c r="G31" s="15">
        <v>15000</v>
      </c>
      <c r="H31" s="15">
        <v>20000</v>
      </c>
      <c r="I31" s="15">
        <v>22000</v>
      </c>
      <c r="J31" s="15">
        <v>22000</v>
      </c>
      <c r="K31" s="15">
        <v>20000</v>
      </c>
      <c r="L31" s="15">
        <v>15000</v>
      </c>
      <c r="M31" s="15">
        <v>10000</v>
      </c>
      <c r="N31" s="15">
        <v>10000</v>
      </c>
      <c r="O31" s="15">
        <f>SUM(C31:N31)</f>
        <v>175000</v>
      </c>
    </row>
    <row r="32" spans="2:15" s="7" customFormat="1" ht="12.75">
      <c r="B32" s="19" t="s">
        <v>65</v>
      </c>
      <c r="C32" s="15">
        <f>C12+C20+C25+C30+C31</f>
        <v>321084</v>
      </c>
      <c r="D32" s="15">
        <f aca="true" t="shared" si="8" ref="D32:O32">D12+D20+D25+D30+D31</f>
        <v>378764</v>
      </c>
      <c r="E32" s="15">
        <f t="shared" si="8"/>
        <v>370664</v>
      </c>
      <c r="F32" s="15">
        <f t="shared" si="8"/>
        <v>435980</v>
      </c>
      <c r="G32" s="15">
        <f t="shared" si="8"/>
        <v>814358</v>
      </c>
      <c r="H32" s="15">
        <f t="shared" si="8"/>
        <v>1005340</v>
      </c>
      <c r="I32" s="15">
        <f t="shared" si="8"/>
        <v>1298423</v>
      </c>
      <c r="J32" s="15">
        <f t="shared" si="8"/>
        <v>1298423</v>
      </c>
      <c r="K32" s="15">
        <f t="shared" si="8"/>
        <v>831574</v>
      </c>
      <c r="L32" s="15">
        <f t="shared" si="8"/>
        <v>567740</v>
      </c>
      <c r="M32" s="15">
        <f t="shared" si="8"/>
        <v>441720</v>
      </c>
      <c r="N32" s="15">
        <f t="shared" si="8"/>
        <v>469952</v>
      </c>
      <c r="O32" s="15">
        <f t="shared" si="8"/>
        <v>8234022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8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20.421875" style="0" customWidth="1"/>
  </cols>
  <sheetData>
    <row r="2" spans="2:8" ht="12.75">
      <c r="B2" s="149" t="s">
        <v>116</v>
      </c>
      <c r="C2" s="149"/>
      <c r="D2" s="149"/>
      <c r="E2" s="149"/>
      <c r="F2" s="149"/>
      <c r="G2" s="149"/>
      <c r="H2" s="149"/>
    </row>
    <row r="3" spans="2:8" ht="12.75">
      <c r="B3" s="10"/>
      <c r="C3" s="149" t="s">
        <v>139</v>
      </c>
      <c r="D3" s="149"/>
      <c r="E3" s="149" t="s">
        <v>120</v>
      </c>
      <c r="F3" s="149"/>
      <c r="G3" s="149" t="s">
        <v>121</v>
      </c>
      <c r="H3" s="149"/>
    </row>
    <row r="4" spans="2:8" ht="12.75">
      <c r="B4" s="1" t="s">
        <v>0</v>
      </c>
      <c r="C4" s="130">
        <f>'Prévision CA'!O12</f>
        <v>6243400</v>
      </c>
      <c r="D4" s="131">
        <f>C4/$C$9</f>
        <v>0.7582442699327254</v>
      </c>
      <c r="E4" s="130">
        <v>6992608</v>
      </c>
      <c r="F4" s="131">
        <f>E4/$E$9</f>
        <v>0.7582442403334163</v>
      </c>
      <c r="G4" s="118">
        <v>7117476</v>
      </c>
      <c r="H4" s="131">
        <f>G4/$G$9</f>
        <v>0.7582442763949531</v>
      </c>
    </row>
    <row r="5" spans="2:8" ht="12.75">
      <c r="B5" s="3" t="s">
        <v>75</v>
      </c>
      <c r="C5" s="132">
        <f>'Prévision CA'!O20</f>
        <v>1033714</v>
      </c>
      <c r="D5" s="39">
        <f>C5/$C$9</f>
        <v>0.12554180690797279</v>
      </c>
      <c r="E5" s="132">
        <v>1157760</v>
      </c>
      <c r="F5" s="39">
        <f>E5/$E$9</f>
        <v>0.12554183670647862</v>
      </c>
      <c r="G5" s="119">
        <v>1178434</v>
      </c>
      <c r="H5" s="39">
        <f>G5/$G$9</f>
        <v>0.1255418122392278</v>
      </c>
    </row>
    <row r="6" spans="2:8" ht="12.75">
      <c r="B6" s="3" t="s">
        <v>73</v>
      </c>
      <c r="C6" s="132">
        <f>'Prévision CA'!O25</f>
        <v>471680</v>
      </c>
      <c r="D6" s="39">
        <f>C6/$C$9</f>
        <v>0.05728427735558637</v>
      </c>
      <c r="E6" s="132">
        <v>528282</v>
      </c>
      <c r="F6" s="39">
        <f>E6/$E$9</f>
        <v>0.05728431849344591</v>
      </c>
      <c r="G6" s="119">
        <v>537715</v>
      </c>
      <c r="H6" s="39">
        <f>G6/$G$9</f>
        <v>0.05728425653724891</v>
      </c>
    </row>
    <row r="7" spans="2:8" ht="12.75">
      <c r="B7" s="3" t="s">
        <v>74</v>
      </c>
      <c r="C7" s="132">
        <f>'Prévision CA'!O30</f>
        <v>310228</v>
      </c>
      <c r="D7" s="39">
        <f>C7/$C$9</f>
        <v>0.03767636277872466</v>
      </c>
      <c r="E7" s="132">
        <v>347455</v>
      </c>
      <c r="F7" s="39">
        <f>E7/$E$9</f>
        <v>0.03767632227132526</v>
      </c>
      <c r="G7" s="119">
        <v>353660</v>
      </c>
      <c r="H7" s="39">
        <f>G7/$G$9</f>
        <v>0.03767637162244581</v>
      </c>
    </row>
    <row r="8" spans="2:8" ht="12.75">
      <c r="B8" s="53" t="s">
        <v>1</v>
      </c>
      <c r="C8" s="133">
        <f>'Prévision CA'!O31</f>
        <v>175000</v>
      </c>
      <c r="D8" s="134">
        <f>C8/$C$9</f>
        <v>0.021253283024990702</v>
      </c>
      <c r="E8" s="133">
        <v>196000</v>
      </c>
      <c r="F8" s="134">
        <f>E8/$E$9</f>
        <v>0.021253282195333928</v>
      </c>
      <c r="G8" s="120">
        <v>199500</v>
      </c>
      <c r="H8" s="134">
        <f>G8/$G$9</f>
        <v>0.021253283206124355</v>
      </c>
    </row>
    <row r="9" spans="2:8" ht="12.75">
      <c r="B9" s="33" t="s">
        <v>2</v>
      </c>
      <c r="C9" s="34">
        <f aca="true" t="shared" si="0" ref="C9:H9">SUM(C4:C8)</f>
        <v>8234022</v>
      </c>
      <c r="D9" s="40">
        <f t="shared" si="0"/>
        <v>1</v>
      </c>
      <c r="E9" s="36">
        <f t="shared" si="0"/>
        <v>9222105</v>
      </c>
      <c r="F9" s="147">
        <f t="shared" si="0"/>
        <v>1</v>
      </c>
      <c r="G9" s="37">
        <f t="shared" si="0"/>
        <v>9386785</v>
      </c>
      <c r="H9" s="147">
        <f t="shared" si="0"/>
        <v>1</v>
      </c>
    </row>
    <row r="10" spans="2:8" ht="12.75">
      <c r="B10" s="1" t="s">
        <v>76</v>
      </c>
      <c r="C10" s="2">
        <f>ROUND(C5*D10,0)</f>
        <v>289440</v>
      </c>
      <c r="D10" s="39">
        <v>0.28</v>
      </c>
      <c r="E10" s="2">
        <f>ROUND(E5*F10,0)</f>
        <v>324173</v>
      </c>
      <c r="F10" s="39">
        <v>0.28</v>
      </c>
      <c r="G10" s="2">
        <f>ROUND(G5*H10,0)</f>
        <v>329962</v>
      </c>
      <c r="H10" s="39">
        <v>0.28</v>
      </c>
    </row>
    <row r="11" spans="2:8" ht="12.75">
      <c r="B11" s="3" t="s">
        <v>77</v>
      </c>
      <c r="C11" s="2">
        <f>ROUND(C6*D11,0)</f>
        <v>94336</v>
      </c>
      <c r="D11" s="39">
        <v>0.2</v>
      </c>
      <c r="E11" s="2">
        <f>ROUND(E6*F11,0)</f>
        <v>105656</v>
      </c>
      <c r="F11" s="39">
        <v>0.2</v>
      </c>
      <c r="G11" s="2">
        <f>ROUND(G6*H11,0)</f>
        <v>107543</v>
      </c>
      <c r="H11" s="39">
        <v>0.2</v>
      </c>
    </row>
    <row r="12" spans="2:8" ht="12.75">
      <c r="B12" s="3" t="s">
        <v>78</v>
      </c>
      <c r="C12" s="2">
        <f>ROUND(C8*D12,0)</f>
        <v>35000</v>
      </c>
      <c r="D12" s="39">
        <v>0.2</v>
      </c>
      <c r="E12" s="2">
        <f>ROUND(E8*F12,0)</f>
        <v>39200</v>
      </c>
      <c r="F12" s="39">
        <v>0.2</v>
      </c>
      <c r="G12" s="2">
        <f>ROUND(G8*H12,0)</f>
        <v>39900</v>
      </c>
      <c r="H12" s="39">
        <v>0.2</v>
      </c>
    </row>
    <row r="13" spans="2:8" ht="12.75">
      <c r="B13" s="33" t="s">
        <v>3</v>
      </c>
      <c r="C13" s="34">
        <f>SUM(C10:C12)</f>
        <v>418776</v>
      </c>
      <c r="D13" s="35"/>
      <c r="E13" s="36">
        <f>SUM(E10:E12)</f>
        <v>469029</v>
      </c>
      <c r="F13" s="35"/>
      <c r="G13" s="37">
        <f>SUM(G10:G12)</f>
        <v>477405</v>
      </c>
      <c r="H13" s="35"/>
    </row>
    <row r="14" spans="2:8" ht="12.75">
      <c r="B14" s="1" t="s">
        <v>4</v>
      </c>
      <c r="C14" s="2">
        <f>ROUND(C9*D14,0)</f>
        <v>2470207</v>
      </c>
      <c r="D14" s="39">
        <v>0.3</v>
      </c>
      <c r="E14" s="2">
        <f>ROUND(E9*F14,0)</f>
        <v>2766632</v>
      </c>
      <c r="F14" s="39">
        <v>0.3</v>
      </c>
      <c r="G14" s="2">
        <f>ROUND(G9*H14,0)</f>
        <v>2816036</v>
      </c>
      <c r="H14" s="39">
        <v>0.3</v>
      </c>
    </row>
    <row r="15" spans="2:8" ht="12.75">
      <c r="B15" s="3" t="s">
        <v>5</v>
      </c>
      <c r="C15" s="2">
        <f>ROUND(C9*D15,0)</f>
        <v>823402</v>
      </c>
      <c r="D15" s="39">
        <v>0.1</v>
      </c>
      <c r="E15" s="2">
        <f>ROUND(E9*F15,0)</f>
        <v>922211</v>
      </c>
      <c r="F15" s="39">
        <v>0.1</v>
      </c>
      <c r="G15" s="2">
        <f>ROUND(G9*H15,0)</f>
        <v>938679</v>
      </c>
      <c r="H15" s="39">
        <v>0.1</v>
      </c>
    </row>
    <row r="16" spans="2:8" ht="12.75">
      <c r="B16" s="33" t="s">
        <v>6</v>
      </c>
      <c r="C16" s="34">
        <f>SUM(C14:C15)</f>
        <v>3293609</v>
      </c>
      <c r="D16" s="40">
        <f>C16/C9</f>
        <v>0.4000000242894663</v>
      </c>
      <c r="E16" s="36">
        <f>SUM(E14:E15)</f>
        <v>3688843</v>
      </c>
      <c r="F16" s="40">
        <f>E16/E9</f>
        <v>0.40000010843511324</v>
      </c>
      <c r="G16" s="37">
        <f>SUM(G14:G15)</f>
        <v>3754715</v>
      </c>
      <c r="H16" s="40">
        <f>G16/G9</f>
        <v>0.4000001065327479</v>
      </c>
    </row>
    <row r="17" spans="2:8" ht="12.75">
      <c r="B17" s="1" t="s">
        <v>7</v>
      </c>
      <c r="C17" s="2">
        <v>369929</v>
      </c>
      <c r="D17" s="41">
        <f>C17/$C$9</f>
        <v>0.044926889920867345</v>
      </c>
      <c r="E17" s="2">
        <v>377328</v>
      </c>
      <c r="F17" s="41">
        <f>E17/$E$9</f>
        <v>0.04091560440918857</v>
      </c>
      <c r="G17" s="2">
        <v>381101</v>
      </c>
      <c r="H17" s="41">
        <f>G17/$G$9</f>
        <v>0.04059973675757994</v>
      </c>
    </row>
    <row r="18" spans="2:8" ht="12.75">
      <c r="B18" s="3" t="s">
        <v>8</v>
      </c>
      <c r="C18" s="2">
        <v>351603</v>
      </c>
      <c r="D18" s="41">
        <f aca="true" t="shared" si="1" ref="D18:D45">C18/$C$9</f>
        <v>0.04270124612249032</v>
      </c>
      <c r="E18" s="2">
        <v>358635</v>
      </c>
      <c r="F18" s="41">
        <f aca="true" t="shared" si="2" ref="F18:F45">E18/$E$9</f>
        <v>0.03888862683736522</v>
      </c>
      <c r="G18" s="2">
        <v>362221</v>
      </c>
      <c r="H18" s="41">
        <f aca="true" t="shared" si="3" ref="H18:H45">G18/$G$9</f>
        <v>0.038588398477220905</v>
      </c>
    </row>
    <row r="19" spans="2:8" ht="12.75">
      <c r="B19" s="3" t="s">
        <v>9</v>
      </c>
      <c r="C19" s="2">
        <v>40754</v>
      </c>
      <c r="D19" s="41">
        <f t="shared" si="1"/>
        <v>0.004949464550859835</v>
      </c>
      <c r="E19" s="2">
        <v>41569</v>
      </c>
      <c r="F19" s="41">
        <f t="shared" si="2"/>
        <v>0.0045075392223358985</v>
      </c>
      <c r="G19" s="2">
        <v>41985</v>
      </c>
      <c r="H19" s="41">
        <f t="shared" si="3"/>
        <v>0.004472777420597148</v>
      </c>
    </row>
    <row r="20" spans="2:8" ht="12.75">
      <c r="B20" s="3" t="s">
        <v>67</v>
      </c>
      <c r="C20" s="2">
        <v>83985</v>
      </c>
      <c r="D20" s="41">
        <f t="shared" si="1"/>
        <v>0.010199754142021967</v>
      </c>
      <c r="E20" s="2">
        <v>85665</v>
      </c>
      <c r="F20" s="41">
        <f t="shared" si="2"/>
        <v>0.009289093975833067</v>
      </c>
      <c r="G20" s="2">
        <v>86522</v>
      </c>
      <c r="H20" s="41">
        <f t="shared" si="3"/>
        <v>0.009217426413836048</v>
      </c>
    </row>
    <row r="21" spans="2:8" ht="12.75">
      <c r="B21" s="3" t="s">
        <v>10</v>
      </c>
      <c r="C21" s="2">
        <v>161022</v>
      </c>
      <c r="D21" s="41">
        <f t="shared" si="1"/>
        <v>0.019555692224286016</v>
      </c>
      <c r="E21" s="2">
        <v>164242</v>
      </c>
      <c r="F21" s="41">
        <f t="shared" si="2"/>
        <v>0.017809599869010383</v>
      </c>
      <c r="G21" s="2">
        <v>165884</v>
      </c>
      <c r="H21" s="41">
        <f t="shared" si="3"/>
        <v>0.017672078352705425</v>
      </c>
    </row>
    <row r="22" spans="2:8" ht="12.75">
      <c r="B22" s="3" t="s">
        <v>11</v>
      </c>
      <c r="C22" s="2">
        <v>45617</v>
      </c>
      <c r="D22" s="41">
        <f t="shared" si="1"/>
        <v>0.005540062924291433</v>
      </c>
      <c r="E22" s="2">
        <v>46529</v>
      </c>
      <c r="F22" s="41">
        <f t="shared" si="2"/>
        <v>0.005045377384013737</v>
      </c>
      <c r="G22" s="2">
        <v>46994</v>
      </c>
      <c r="H22" s="41">
        <f t="shared" si="3"/>
        <v>0.005006399954830115</v>
      </c>
    </row>
    <row r="23" spans="2:8" ht="12.75">
      <c r="B23" s="3" t="s">
        <v>12</v>
      </c>
      <c r="C23" s="2">
        <v>38205</v>
      </c>
      <c r="D23" s="41">
        <f t="shared" si="1"/>
        <v>0.004639895302684399</v>
      </c>
      <c r="E23" s="2">
        <v>38969</v>
      </c>
      <c r="F23" s="41">
        <f t="shared" si="2"/>
        <v>0.004225607927908</v>
      </c>
      <c r="G23" s="2">
        <v>39359</v>
      </c>
      <c r="H23" s="41">
        <f t="shared" si="3"/>
        <v>0.0041930224246107695</v>
      </c>
    </row>
    <row r="24" spans="2:8" ht="12.75">
      <c r="B24" s="3" t="s">
        <v>66</v>
      </c>
      <c r="C24" s="2">
        <v>114330</v>
      </c>
      <c r="D24" s="41">
        <f t="shared" si="1"/>
        <v>0.013885073418555355</v>
      </c>
      <c r="E24" s="2">
        <v>116617</v>
      </c>
      <c r="F24" s="41">
        <f t="shared" si="2"/>
        <v>0.012645377600883963</v>
      </c>
      <c r="G24" s="2">
        <v>117783</v>
      </c>
      <c r="H24" s="41">
        <f t="shared" si="3"/>
        <v>0.012547746645949598</v>
      </c>
    </row>
    <row r="25" spans="2:8" ht="12.75">
      <c r="B25" s="3" t="s">
        <v>13</v>
      </c>
      <c r="C25" s="2">
        <v>204202</v>
      </c>
      <c r="D25" s="41">
        <f t="shared" si="1"/>
        <v>0.02479978800153801</v>
      </c>
      <c r="E25" s="2">
        <v>208286</v>
      </c>
      <c r="F25" s="41">
        <f t="shared" si="2"/>
        <v>0.022585515996618993</v>
      </c>
      <c r="G25" s="2">
        <v>210369</v>
      </c>
      <c r="H25" s="41">
        <f t="shared" si="3"/>
        <v>0.022411187643053505</v>
      </c>
    </row>
    <row r="26" spans="2:8" ht="12.75">
      <c r="B26" s="3" t="s">
        <v>14</v>
      </c>
      <c r="C26" s="2">
        <v>75693</v>
      </c>
      <c r="D26" s="41">
        <f t="shared" si="1"/>
        <v>0.009192712868632122</v>
      </c>
      <c r="E26" s="2">
        <v>77207</v>
      </c>
      <c r="F26" s="41">
        <f t="shared" si="2"/>
        <v>0.008371949788036463</v>
      </c>
      <c r="G26" s="2">
        <v>77979</v>
      </c>
      <c r="H26" s="41">
        <f t="shared" si="3"/>
        <v>0.008307317148523162</v>
      </c>
    </row>
    <row r="27" spans="2:8" ht="12.75">
      <c r="B27" s="3" t="s">
        <v>15</v>
      </c>
      <c r="C27" s="2">
        <v>61142</v>
      </c>
      <c r="D27" s="41">
        <f t="shared" si="1"/>
        <v>0.007425532746937038</v>
      </c>
      <c r="E27" s="2">
        <v>62365</v>
      </c>
      <c r="F27" s="41">
        <f t="shared" si="2"/>
        <v>0.0067625558373061246</v>
      </c>
      <c r="G27" s="2">
        <v>62989</v>
      </c>
      <c r="H27" s="41">
        <f t="shared" si="3"/>
        <v>0.006710391257496577</v>
      </c>
    </row>
    <row r="28" spans="2:8" ht="12.75">
      <c r="B28" s="3" t="s">
        <v>16</v>
      </c>
      <c r="C28" s="2">
        <v>88117</v>
      </c>
      <c r="D28" s="41">
        <f t="shared" si="1"/>
        <v>0.01070157451607489</v>
      </c>
      <c r="E28" s="2">
        <v>89879</v>
      </c>
      <c r="F28" s="41">
        <f t="shared" si="2"/>
        <v>0.009746039543032745</v>
      </c>
      <c r="G28" s="2">
        <v>90778</v>
      </c>
      <c r="H28" s="41">
        <f t="shared" si="3"/>
        <v>0.009670829788900033</v>
      </c>
    </row>
    <row r="29" spans="2:8" ht="12.75">
      <c r="B29" s="3" t="s">
        <v>17</v>
      </c>
      <c r="C29" s="2">
        <v>29703</v>
      </c>
      <c r="D29" s="41">
        <f t="shared" si="1"/>
        <v>0.003607350089664565</v>
      </c>
      <c r="E29" s="2">
        <v>30297</v>
      </c>
      <c r="F29" s="41">
        <f t="shared" si="2"/>
        <v>0.0032852586258777143</v>
      </c>
      <c r="G29" s="2">
        <v>30600</v>
      </c>
      <c r="H29" s="41">
        <f t="shared" si="3"/>
        <v>0.003259902085751405</v>
      </c>
    </row>
    <row r="30" spans="2:8" ht="12.75">
      <c r="B30" s="3" t="s">
        <v>18</v>
      </c>
      <c r="C30" s="2">
        <v>42540</v>
      </c>
      <c r="D30" s="41">
        <f t="shared" si="1"/>
        <v>0.005166369485046312</v>
      </c>
      <c r="E30" s="2">
        <v>43391</v>
      </c>
      <c r="F30" s="41">
        <f t="shared" si="2"/>
        <v>0.004705107998661911</v>
      </c>
      <c r="G30" s="2">
        <v>43825</v>
      </c>
      <c r="H30" s="41">
        <f t="shared" si="3"/>
        <v>0.004668797676733834</v>
      </c>
    </row>
    <row r="31" spans="2:8" ht="12.75">
      <c r="B31" s="3" t="s">
        <v>19</v>
      </c>
      <c r="C31" s="2">
        <v>253617</v>
      </c>
      <c r="D31" s="41">
        <f t="shared" si="1"/>
        <v>0.030801107891137526</v>
      </c>
      <c r="E31" s="2">
        <v>258689</v>
      </c>
      <c r="F31" s="41">
        <f t="shared" si="2"/>
        <v>0.028050971009330298</v>
      </c>
      <c r="G31" s="2">
        <v>261276</v>
      </c>
      <c r="H31" s="41">
        <f t="shared" si="3"/>
        <v>0.02783445024041778</v>
      </c>
    </row>
    <row r="32" spans="2:8" ht="12.75">
      <c r="B32" s="3" t="s">
        <v>20</v>
      </c>
      <c r="C32" s="2">
        <v>15287</v>
      </c>
      <c r="D32" s="41">
        <f t="shared" si="1"/>
        <v>0.0018565653577316164</v>
      </c>
      <c r="E32" s="2">
        <v>15593</v>
      </c>
      <c r="F32" s="41">
        <f t="shared" si="2"/>
        <v>0.0016908287207747037</v>
      </c>
      <c r="G32" s="2">
        <v>15749</v>
      </c>
      <c r="H32" s="41">
        <f t="shared" si="3"/>
        <v>0.0016777842466829697</v>
      </c>
    </row>
    <row r="33" spans="2:8" ht="12.75">
      <c r="B33" s="3" t="s">
        <v>21</v>
      </c>
      <c r="C33" s="2">
        <v>99990</v>
      </c>
      <c r="D33" s="41">
        <f t="shared" si="1"/>
        <v>0.012143518683821831</v>
      </c>
      <c r="E33" s="2">
        <v>101990</v>
      </c>
      <c r="F33" s="41">
        <f t="shared" si="2"/>
        <v>0.011059297199500547</v>
      </c>
      <c r="G33" s="2">
        <v>103010</v>
      </c>
      <c r="H33" s="41">
        <f t="shared" si="3"/>
        <v>0.010973938361217392</v>
      </c>
    </row>
    <row r="34" spans="2:8" ht="12.75">
      <c r="B34" s="3" t="s">
        <v>22</v>
      </c>
      <c r="C34" s="2">
        <v>24938</v>
      </c>
      <c r="D34" s="41">
        <f t="shared" si="1"/>
        <v>0.003028653554726961</v>
      </c>
      <c r="E34" s="2">
        <v>25437</v>
      </c>
      <c r="F34" s="41">
        <f t="shared" si="2"/>
        <v>0.002758263975524026</v>
      </c>
      <c r="G34" s="2">
        <v>25691</v>
      </c>
      <c r="H34" s="41">
        <f t="shared" si="3"/>
        <v>0.0027369328263084753</v>
      </c>
    </row>
    <row r="35" spans="2:8" ht="12.75">
      <c r="B35" s="3" t="s">
        <v>23</v>
      </c>
      <c r="C35" s="2">
        <v>64370</v>
      </c>
      <c r="D35" s="41">
        <f t="shared" si="1"/>
        <v>0.007817564733249438</v>
      </c>
      <c r="E35" s="2">
        <v>65657</v>
      </c>
      <c r="F35" s="41">
        <f t="shared" si="2"/>
        <v>0.007119524230097141</v>
      </c>
      <c r="G35" s="2">
        <v>66314</v>
      </c>
      <c r="H35" s="41">
        <f t="shared" si="3"/>
        <v>0.007064612644265315</v>
      </c>
    </row>
    <row r="36" spans="2:8" ht="12.75">
      <c r="B36" s="33" t="s">
        <v>24</v>
      </c>
      <c r="C36" s="34">
        <f>SUM(C17:C35)</f>
        <v>2165044</v>
      </c>
      <c r="D36" s="42">
        <f t="shared" si="1"/>
        <v>0.262938816534617</v>
      </c>
      <c r="E36" s="36">
        <f>SUM(E17:E35)</f>
        <v>2208345</v>
      </c>
      <c r="F36" s="42">
        <f t="shared" si="2"/>
        <v>0.23946214015129952</v>
      </c>
      <c r="G36" s="37">
        <f>SUM(G17:G35)</f>
        <v>2230429</v>
      </c>
      <c r="H36" s="42">
        <f t="shared" si="3"/>
        <v>0.2376137303666804</v>
      </c>
    </row>
    <row r="37" spans="2:8" ht="12.75">
      <c r="B37" s="33" t="s">
        <v>25</v>
      </c>
      <c r="C37" s="38">
        <f>C9-C13-C16-C36</f>
        <v>2356593</v>
      </c>
      <c r="D37" s="46">
        <f t="shared" si="1"/>
        <v>0.2862019314497824</v>
      </c>
      <c r="E37" s="38">
        <f>E9-E13-E16-E36</f>
        <v>2855888</v>
      </c>
      <c r="F37" s="42">
        <f t="shared" si="2"/>
        <v>0.3096785386850399</v>
      </c>
      <c r="G37" s="38">
        <f>G9-G13-G16-G36</f>
        <v>2924236</v>
      </c>
      <c r="H37" s="42">
        <f t="shared" si="3"/>
        <v>0.3115268965891943</v>
      </c>
    </row>
    <row r="38" spans="2:8" ht="12.75">
      <c r="B38" s="1" t="s">
        <v>79</v>
      </c>
      <c r="C38" s="2">
        <v>218000</v>
      </c>
      <c r="D38" s="48">
        <f t="shared" si="1"/>
        <v>0.026475518282559847</v>
      </c>
      <c r="E38" s="2">
        <v>222000</v>
      </c>
      <c r="F38" s="41">
        <f t="shared" si="2"/>
        <v>0.02407259513961292</v>
      </c>
      <c r="G38" s="2">
        <v>230000</v>
      </c>
      <c r="H38" s="41">
        <f t="shared" si="3"/>
        <v>0.024502532017085722</v>
      </c>
    </row>
    <row r="39" spans="2:8" ht="12.75">
      <c r="B39" s="3" t="s">
        <v>81</v>
      </c>
      <c r="C39" s="2">
        <f>'Montage financier'!I17</f>
        <v>151500</v>
      </c>
      <c r="D39" s="41">
        <f t="shared" si="1"/>
        <v>0.01839927073306338</v>
      </c>
      <c r="E39" s="2">
        <f>'Montage financier'!I18</f>
        <v>132892.8</v>
      </c>
      <c r="F39" s="41">
        <f t="shared" si="2"/>
        <v>0.014410245816979961</v>
      </c>
      <c r="G39" s="2">
        <f>'Montage financier'!I19</f>
        <v>113355.24</v>
      </c>
      <c r="H39" s="41">
        <f t="shared" si="3"/>
        <v>0.012076045206106245</v>
      </c>
    </row>
    <row r="40" spans="2:8" ht="12.75">
      <c r="B40" s="3" t="s">
        <v>80</v>
      </c>
      <c r="C40" s="2">
        <f>'Montage financier'!I32</f>
        <v>1520000</v>
      </c>
      <c r="D40" s="41">
        <f t="shared" si="1"/>
        <v>0.18459994398849067</v>
      </c>
      <c r="E40" s="2">
        <f>ROUND(C40*1.03,0)</f>
        <v>1565600</v>
      </c>
      <c r="F40" s="41">
        <f t="shared" si="2"/>
        <v>0.16976601329089183</v>
      </c>
      <c r="G40" s="2">
        <f>ROUND(E40*1.03,0)</f>
        <v>1612568</v>
      </c>
      <c r="H40" s="41">
        <f t="shared" si="3"/>
        <v>0.1717913002162082</v>
      </c>
    </row>
    <row r="41" spans="2:8" ht="12.75">
      <c r="B41" s="3" t="s">
        <v>26</v>
      </c>
      <c r="C41" s="2">
        <f>'Montage financier'!I28</f>
        <v>750000</v>
      </c>
      <c r="D41" s="49">
        <f t="shared" si="1"/>
        <v>0.09108549867853158</v>
      </c>
      <c r="E41" s="2">
        <f>C41</f>
        <v>750000</v>
      </c>
      <c r="F41" s="41">
        <f t="shared" si="2"/>
        <v>0.08132633493112473</v>
      </c>
      <c r="G41" s="2">
        <f>E41</f>
        <v>750000</v>
      </c>
      <c r="H41" s="41">
        <f t="shared" si="3"/>
        <v>0.07989956092527953</v>
      </c>
    </row>
    <row r="42" spans="2:8" ht="12.75">
      <c r="B42" s="33" t="s">
        <v>27</v>
      </c>
      <c r="C42" s="36">
        <f>SUM(C38:C41)</f>
        <v>2639500</v>
      </c>
      <c r="D42" s="47">
        <f t="shared" si="1"/>
        <v>0.32056023168264547</v>
      </c>
      <c r="E42" s="36">
        <f>SUM(E38:E41)</f>
        <v>2670492.8</v>
      </c>
      <c r="F42" s="42">
        <f t="shared" si="2"/>
        <v>0.2895751891786094</v>
      </c>
      <c r="G42" s="43">
        <f>SUM(G38:G41)</f>
        <v>2705923.24</v>
      </c>
      <c r="H42" s="42">
        <f t="shared" si="3"/>
        <v>0.2882694383646797</v>
      </c>
    </row>
    <row r="43" spans="2:8" ht="12.75">
      <c r="B43" s="33" t="s">
        <v>83</v>
      </c>
      <c r="C43" s="44">
        <f>C37-C42</f>
        <v>-282907</v>
      </c>
      <c r="D43" s="47">
        <f t="shared" si="1"/>
        <v>-0.03435830023286311</v>
      </c>
      <c r="E43" s="44">
        <f>E37-E42</f>
        <v>185395.2000000002</v>
      </c>
      <c r="F43" s="42">
        <f t="shared" si="2"/>
        <v>0.020103349506430494</v>
      </c>
      <c r="G43" s="44">
        <f>G37-G42</f>
        <v>218312.75999999978</v>
      </c>
      <c r="H43" s="42">
        <f t="shared" si="3"/>
        <v>0.023257458224514548</v>
      </c>
    </row>
    <row r="44" spans="2:8" ht="12.75">
      <c r="B44" s="33" t="s">
        <v>117</v>
      </c>
      <c r="C44" s="44"/>
      <c r="D44" s="47">
        <f t="shared" si="1"/>
        <v>0</v>
      </c>
      <c r="E44" s="36"/>
      <c r="F44" s="42">
        <f t="shared" si="2"/>
        <v>0</v>
      </c>
      <c r="G44" s="45">
        <v>39864</v>
      </c>
      <c r="H44" s="42">
        <f t="shared" si="3"/>
        <v>0.004246821462300458</v>
      </c>
    </row>
    <row r="45" spans="2:8" ht="12.75">
      <c r="B45" s="33" t="s">
        <v>28</v>
      </c>
      <c r="C45" s="44">
        <f>C43-C44</f>
        <v>-282907</v>
      </c>
      <c r="D45" s="42">
        <f t="shared" si="1"/>
        <v>-0.03435830023286311</v>
      </c>
      <c r="E45" s="44">
        <f>E43-E44</f>
        <v>185395.2000000002</v>
      </c>
      <c r="F45" s="42">
        <f t="shared" si="2"/>
        <v>0.020103349506430494</v>
      </c>
      <c r="G45" s="44">
        <f>G43-G44</f>
        <v>178448.75999999978</v>
      </c>
      <c r="H45" s="42">
        <f t="shared" si="3"/>
        <v>0.019010636762214088</v>
      </c>
    </row>
    <row r="46" spans="2:8" ht="12.75">
      <c r="B46" s="4"/>
      <c r="C46" s="2"/>
      <c r="D46" s="4"/>
      <c r="E46" s="4"/>
      <c r="F46" s="4"/>
      <c r="G46" s="2"/>
      <c r="H46" s="4"/>
    </row>
    <row r="47" spans="2:8" ht="12.75">
      <c r="B47" s="55" t="s">
        <v>26</v>
      </c>
      <c r="C47" s="54">
        <f>C41</f>
        <v>750000</v>
      </c>
      <c r="D47" s="20"/>
      <c r="E47" s="54">
        <f>C47</f>
        <v>750000</v>
      </c>
      <c r="F47" s="148"/>
      <c r="G47" s="54">
        <f>E47</f>
        <v>750000</v>
      </c>
      <c r="H47" s="148"/>
    </row>
    <row r="48" spans="2:8" ht="12.75">
      <c r="B48" s="50" t="s">
        <v>82</v>
      </c>
      <c r="C48" s="36">
        <f>C45+C47</f>
        <v>467093</v>
      </c>
      <c r="D48" s="51"/>
      <c r="E48" s="36">
        <f>E45+E47</f>
        <v>935395.2000000002</v>
      </c>
      <c r="F48" s="52"/>
      <c r="G48" s="36">
        <f>G45+G47</f>
        <v>928448.7599999998</v>
      </c>
      <c r="H48" s="5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E26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49.57421875" style="0" customWidth="1"/>
    <col min="3" max="3" width="12.140625" style="0" bestFit="1" customWidth="1"/>
  </cols>
  <sheetData>
    <row r="7" spans="2:5" ht="18">
      <c r="B7" s="57" t="s">
        <v>118</v>
      </c>
      <c r="C7" s="58"/>
      <c r="D7" s="58"/>
      <c r="E7" s="58"/>
    </row>
    <row r="9" spans="2:5" ht="15.75">
      <c r="B9" s="72" t="s">
        <v>119</v>
      </c>
      <c r="C9" s="17" t="s">
        <v>120</v>
      </c>
      <c r="D9" s="135" t="s">
        <v>121</v>
      </c>
      <c r="E9" s="17" t="s">
        <v>122</v>
      </c>
    </row>
    <row r="10" spans="2:5" ht="15">
      <c r="B10" s="136" t="s">
        <v>94</v>
      </c>
      <c r="C10" s="88">
        <f>'Montage financier'!C25</f>
        <v>5000000</v>
      </c>
      <c r="D10" s="89"/>
      <c r="E10" s="88"/>
    </row>
    <row r="11" spans="2:5" ht="15">
      <c r="B11" s="80" t="s">
        <v>123</v>
      </c>
      <c r="C11" s="88">
        <f>'Montage financier'!J17</f>
        <v>372144.05</v>
      </c>
      <c r="D11" s="89">
        <f>'Montage financier'!J18</f>
        <v>390751.25</v>
      </c>
      <c r="E11" s="88">
        <f>'Montage financier'!J19</f>
        <v>410288.81</v>
      </c>
    </row>
    <row r="12" spans="2:5" ht="15">
      <c r="B12" s="80" t="s">
        <v>124</v>
      </c>
      <c r="C12" s="101"/>
      <c r="D12" s="137"/>
      <c r="E12" s="101"/>
    </row>
    <row r="13" spans="2:5" ht="15">
      <c r="B13" s="80" t="s">
        <v>125</v>
      </c>
      <c r="C13" s="101"/>
      <c r="D13" s="137"/>
      <c r="E13" s="101"/>
    </row>
    <row r="14" spans="2:5" ht="15">
      <c r="B14" s="80" t="s">
        <v>126</v>
      </c>
      <c r="C14" s="88">
        <f>'Montage financier'!C26</f>
        <v>50000</v>
      </c>
      <c r="D14" s="88"/>
      <c r="E14" s="88"/>
    </row>
    <row r="15" spans="2:5" ht="15">
      <c r="B15" s="138" t="s">
        <v>127</v>
      </c>
      <c r="C15" s="143"/>
      <c r="D15" s="144"/>
      <c r="E15" s="143"/>
    </row>
    <row r="16" spans="2:5" ht="15">
      <c r="B16" s="139" t="s">
        <v>128</v>
      </c>
      <c r="C16" s="107">
        <f>SUM(C10:C15)</f>
        <v>5422144.05</v>
      </c>
      <c r="D16" s="107">
        <f>SUM(D10:D15)</f>
        <v>390751.25</v>
      </c>
      <c r="E16" s="107">
        <f>SUM(E10:E15)</f>
        <v>410288.81</v>
      </c>
    </row>
    <row r="17" spans="2:5" ht="15.75">
      <c r="B17" s="78" t="s">
        <v>129</v>
      </c>
      <c r="C17" s="88"/>
      <c r="D17" s="89"/>
      <c r="E17" s="88"/>
    </row>
    <row r="18" spans="2:5" ht="15">
      <c r="B18" s="68" t="s">
        <v>130</v>
      </c>
      <c r="C18" s="88">
        <f>'CR prévisionnels'!C48</f>
        <v>467093</v>
      </c>
      <c r="D18" s="89">
        <f>'CR prévisionnels'!E48</f>
        <v>935395.2000000002</v>
      </c>
      <c r="E18" s="88">
        <f>'CR prévisionnels'!G48</f>
        <v>928448.7599999998</v>
      </c>
    </row>
    <row r="19" spans="2:5" ht="15">
      <c r="B19" s="68" t="s">
        <v>108</v>
      </c>
      <c r="C19" s="88">
        <f>'Montage financier'!E24</f>
        <v>3030000</v>
      </c>
      <c r="D19" s="89"/>
      <c r="E19" s="88"/>
    </row>
    <row r="20" spans="2:5" ht="15">
      <c r="B20" s="68" t="s">
        <v>131</v>
      </c>
      <c r="C20" s="88">
        <f>'Montage financier'!E17</f>
        <v>2020000</v>
      </c>
      <c r="D20" s="89"/>
      <c r="E20" s="88"/>
    </row>
    <row r="21" spans="2:5" ht="15">
      <c r="B21" s="68" t="s">
        <v>132</v>
      </c>
      <c r="C21" s="88"/>
      <c r="D21" s="88"/>
      <c r="E21" s="88"/>
    </row>
    <row r="22" spans="2:5" ht="15">
      <c r="B22" s="68" t="s">
        <v>133</v>
      </c>
      <c r="C22" s="145"/>
      <c r="D22" s="146"/>
      <c r="E22" s="145"/>
    </row>
    <row r="23" spans="2:5" ht="15">
      <c r="B23" s="139" t="s">
        <v>134</v>
      </c>
      <c r="C23" s="107">
        <f>SUM(C17:C22)</f>
        <v>5517093</v>
      </c>
      <c r="D23" s="107">
        <f>SUM(D17:D22)</f>
        <v>935395.2000000002</v>
      </c>
      <c r="E23" s="107">
        <f>SUM(E17:E22)</f>
        <v>928448.7599999998</v>
      </c>
    </row>
    <row r="24" spans="2:5" ht="15">
      <c r="B24" s="140" t="s">
        <v>135</v>
      </c>
      <c r="C24" s="141"/>
      <c r="D24" s="142">
        <f>C26</f>
        <v>94948.95000000019</v>
      </c>
      <c r="E24" s="107">
        <f>D26</f>
        <v>639592.9000000004</v>
      </c>
    </row>
    <row r="25" spans="2:5" ht="15">
      <c r="B25" s="68" t="s">
        <v>136</v>
      </c>
      <c r="C25" s="88">
        <f>C23-C16</f>
        <v>94948.95000000019</v>
      </c>
      <c r="D25" s="88">
        <f>D23-D16</f>
        <v>544643.9500000002</v>
      </c>
      <c r="E25" s="88">
        <f>E23-E16</f>
        <v>518159.9499999998</v>
      </c>
    </row>
    <row r="26" spans="2:5" ht="15">
      <c r="B26" s="140" t="s">
        <v>137</v>
      </c>
      <c r="C26" s="107">
        <f>C24+C25</f>
        <v>94948.95000000019</v>
      </c>
      <c r="D26" s="107">
        <f>D24+D25</f>
        <v>639592.9000000004</v>
      </c>
      <c r="E26" s="107">
        <f>E24+E25</f>
        <v>1157752.85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Oulé</dc:creator>
  <cp:keywords/>
  <dc:description/>
  <cp:lastModifiedBy>Jean-Claude Oulé</cp:lastModifiedBy>
  <dcterms:created xsi:type="dcterms:W3CDTF">2009-01-14T23:24:52Z</dcterms:created>
  <dcterms:modified xsi:type="dcterms:W3CDTF">2009-05-22T02:16:44Z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