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32767" windowWidth="19200" windowHeight="6530" tabRatio="950" activeTab="2"/>
  </bookViews>
  <sheets>
    <sheet name="1 - INTRODUCTION"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 RESULTAT" sheetId="31" r:id="rId31"/>
  </sheets>
  <definedNames>
    <definedName name="_xlfn.SINGLE" hidden="1">#NAME?</definedName>
    <definedName name="_xlnm.Print_Area" localSheetId="0">'1 - INTRODUCTION'!$A$1:$H$64</definedName>
    <definedName name="_xlnm.Print_Area" localSheetId="10">'11'!$A$1:$D$31</definedName>
    <definedName name="_xlnm.Print_Area" localSheetId="12">'13'!$A$1:$D$30</definedName>
    <definedName name="_xlnm.Print_Area" localSheetId="13">'14'!$A$1:$D$27</definedName>
    <definedName name="_xlnm.Print_Area" localSheetId="14">'15'!$A$1:$E$15</definedName>
    <definedName name="_xlnm.Print_Area" localSheetId="15">'16'!$A$1:$F$25</definedName>
    <definedName name="_xlnm.Print_Area" localSheetId="16">'17'!$A$1:$K$44</definedName>
    <definedName name="_xlnm.Print_Area" localSheetId="17">'18'!$A$1:$E$9</definedName>
    <definedName name="_xlnm.Print_Area" localSheetId="18">'19'!$A$1:$Q$20</definedName>
    <definedName name="_xlnm.Print_Area" localSheetId="1">'2'!$A$1:$F$40</definedName>
    <definedName name="_xlnm.Print_Area" localSheetId="19">'20'!$A$1:$K$28</definedName>
    <definedName name="_xlnm.Print_Area" localSheetId="20">'21'!$A$1:$E$8</definedName>
    <definedName name="_xlnm.Print_Area" localSheetId="21">'22'!$A$1:$K$12</definedName>
    <definedName name="_xlnm.Print_Area" localSheetId="22">'23'!$A$1:$E$49</definedName>
    <definedName name="_xlnm.Print_Area" localSheetId="23">'24'!$A$1:$D$25</definedName>
    <definedName name="_xlnm.Print_Area" localSheetId="28">'29'!$A$1:$E$9</definedName>
    <definedName name="_xlnm.Print_Area" localSheetId="2">'3'!$A$1:$P$17</definedName>
    <definedName name="_xlnm.Print_Area" localSheetId="29">'30'!$A$1:$H$41</definedName>
    <definedName name="_xlnm.Print_Area" localSheetId="30">'31 - RESULTAT'!$A$1:$G$44</definedName>
    <definedName name="_xlnm.Print_Area" localSheetId="3">'4'!$A$1:$G$17</definedName>
    <definedName name="_xlnm.Print_Area" localSheetId="4">'5'!$A$1:$G$15</definedName>
    <definedName name="_xlnm.Print_Area" localSheetId="5">'6'!$A$1:$G$26</definedName>
    <definedName name="_xlnm.Print_Area" localSheetId="6">'7'!$A$1:$H$21</definedName>
  </definedNames>
  <calcPr fullCalcOnLoad="1"/>
</workbook>
</file>

<file path=xl/sharedStrings.xml><?xml version="1.0" encoding="utf-8"?>
<sst xmlns="http://schemas.openxmlformats.org/spreadsheetml/2006/main" count="948" uniqueCount="667">
  <si>
    <t>soit au total 88 mois divisés par 4 employés = 22 mois. En vous rapportant au tableau ci-dessus, dans ce cas vous compterez 2 points.</t>
  </si>
  <si>
    <r>
      <t xml:space="preserve">Exemple : </t>
    </r>
    <r>
      <rPr>
        <sz val="10"/>
        <rFont val="Arial"/>
        <family val="2"/>
      </rPr>
      <t xml:space="preserve">vous exploitez cette affaire depuis 3 ans et 4 mois, en vous reportant au tableau ci-dessus, votre durée se situe entre 3 et 5 ans, </t>
    </r>
  </si>
  <si>
    <t>donc votre score sera de 2 points.</t>
  </si>
  <si>
    <r>
      <t xml:space="preserve">Faites la somme des mois d'expérience </t>
    </r>
    <r>
      <rPr>
        <b/>
        <sz val="10"/>
        <color indexed="10"/>
        <rFont val="Arial"/>
        <family val="2"/>
      </rPr>
      <t>dans le métier</t>
    </r>
    <r>
      <rPr>
        <b/>
        <sz val="10"/>
        <color indexed="53"/>
        <rFont val="Arial"/>
        <family val="2"/>
      </rPr>
      <t xml:space="preserve"> </t>
    </r>
    <r>
      <rPr>
        <b/>
        <sz val="10"/>
        <rFont val="Arial"/>
        <family val="2"/>
      </rPr>
      <t>de tous vos employés</t>
    </r>
  </si>
  <si>
    <r>
      <t xml:space="preserve">Faites la somme des mois d'expérience </t>
    </r>
    <r>
      <rPr>
        <b/>
        <sz val="10"/>
        <color indexed="10"/>
        <rFont val="Arial"/>
        <family val="2"/>
      </rPr>
      <t>dans l'établissement</t>
    </r>
    <r>
      <rPr>
        <b/>
        <sz val="10"/>
        <rFont val="Arial"/>
        <family val="2"/>
      </rPr>
      <t xml:space="preserve"> de tous vos employés</t>
    </r>
  </si>
  <si>
    <t>EQUIPEMENTS</t>
  </si>
  <si>
    <t>Equipement loisirs</t>
  </si>
  <si>
    <t>Equipement santé détente</t>
  </si>
  <si>
    <t>Parking</t>
  </si>
  <si>
    <t>Garage</t>
  </si>
  <si>
    <t>Parc, Jardin</t>
  </si>
  <si>
    <t>REPARTITION DES LOCAUX</t>
  </si>
  <si>
    <t>Réception / Accueil</t>
  </si>
  <si>
    <t>Salon</t>
  </si>
  <si>
    <t>Salle Petit Déjeuner</t>
  </si>
  <si>
    <t>Salle Séminaire</t>
  </si>
  <si>
    <t>Possibilité d'en créer une ou plusieurs</t>
  </si>
  <si>
    <t>Bar</t>
  </si>
  <si>
    <t>Terrasse</t>
  </si>
  <si>
    <t>Bureau direction</t>
  </si>
  <si>
    <t>Possibilité Augmentation de la capacité</t>
  </si>
  <si>
    <t>NEGHOSCORE</t>
  </si>
  <si>
    <t>Licence IV</t>
  </si>
  <si>
    <t>Effort Mktg / CA HT</t>
  </si>
  <si>
    <t>Référencement guide</t>
  </si>
  <si>
    <t>Adhésion à 1 chaine</t>
  </si>
  <si>
    <t>Situation dans la  Zone de Chalandise</t>
  </si>
  <si>
    <t>Site Internet</t>
  </si>
  <si>
    <t>REVPAR DE LA CATEGORIE</t>
  </si>
  <si>
    <t>Qualité de votre emplacement</t>
  </si>
  <si>
    <t>Contrats annuel société, autocariste, agences .</t>
  </si>
  <si>
    <t>Date de la dernière action de prospection</t>
  </si>
  <si>
    <t>Si le résultat de l'opération CA HT/ Nb moyen d'employé est :</t>
  </si>
  <si>
    <t>Nombre d'employés</t>
  </si>
  <si>
    <t>Exemple :</t>
  </si>
  <si>
    <t>Total effectif</t>
  </si>
  <si>
    <r>
      <t>développer</t>
    </r>
    <r>
      <rPr>
        <b/>
        <sz val="10"/>
        <rFont val="Arial"/>
        <family val="2"/>
      </rPr>
      <t xml:space="preserve"> </t>
    </r>
    <r>
      <rPr>
        <sz val="10"/>
        <rFont val="Arial"/>
        <family val="2"/>
      </rPr>
      <t>constitue l'approche nouvelle que propose NEGHOTEL par le calcul du NEGHOSCORE.</t>
    </r>
  </si>
  <si>
    <t>Moyenne d'ancienneté en mois</t>
  </si>
  <si>
    <t>&lt; à 12 mois</t>
  </si>
  <si>
    <t>36 mois et +</t>
  </si>
  <si>
    <t>2*</t>
  </si>
  <si>
    <t>3*</t>
  </si>
  <si>
    <t>4*</t>
  </si>
  <si>
    <t>Pour estimer la qualité de votre emplacement vous devez prendre en considération les gisements de clientèle dans votre zone et la distance qui vous sépare d'eux. Par exemple un hôtel face à la Gare sera mieux coté qu'un hôtel placé à 200 mètres de la Gare autre exemple un hôtel situé sur une bretelle de sortie de l'autoroute sera mieux évalué que celui situé 1 km après.</t>
  </si>
  <si>
    <t xml:space="preserve">Les méthodes d'évaluation des fonds de commerce sont aussi nombreuses qu'il y a de catégories différentes </t>
  </si>
  <si>
    <t>se mettre d'accord sur LE PRIX DE TRANSACTION.</t>
  </si>
  <si>
    <t xml:space="preserve">A quoi sert d'avoir la meilleure méthode du monde </t>
  </si>
  <si>
    <t>Pour un Cabinet d'affaires comme Neghotel évaluer une affaire c'est d'abord se doter d'un outil d'aide à la</t>
  </si>
  <si>
    <t>décision, c'est définir une base qui permettra de réfléchir, de discuter, d'argumenter, de négocier et</t>
  </si>
  <si>
    <t xml:space="preserve">nombre de professionnels pour servir de base à la réflexion, </t>
  </si>
  <si>
    <t>Pour définir la méthode Neghotel nous avons repris la définition d'un fonds de commerce pour l'énoncer</t>
  </si>
  <si>
    <t xml:space="preserve">Un fonds de commerce est constituée d'une clientèle et de l'ensemble </t>
  </si>
  <si>
    <t>des moyens qui permettent de l'exploiter, la conserver et de la développer".</t>
  </si>
  <si>
    <r>
      <t>L'évaluation de la clientèle</t>
    </r>
    <r>
      <rPr>
        <sz val="10"/>
        <rFont val="Arial"/>
        <family val="2"/>
      </rPr>
      <t xml:space="preserve"> va se faire naturellement à partir du critère chiffre d'affaires et de la </t>
    </r>
  </si>
  <si>
    <t xml:space="preserve">Par le NEGHOSCORE l'aspect professionnel redevient central dans l'évaluation du prix d'un fonds de </t>
  </si>
  <si>
    <t xml:space="preserve">Nous avons cherché à évaluer précisément, avec des critères accessibles à tous, ces moyens dont est dotée </t>
  </si>
  <si>
    <t xml:space="preserve">l'affaire à reprendre, pour en tirer un constat et établir une prévision la plus fiable possible sur ce que </t>
  </si>
  <si>
    <r>
      <t xml:space="preserve">le repreneur peut en faire. </t>
    </r>
    <r>
      <rPr>
        <b/>
        <sz val="10"/>
        <rFont val="Arial"/>
        <family val="2"/>
      </rPr>
      <t xml:space="preserve">Un acheteur paye une affaire sur l'étude de son passé mais l'achète </t>
    </r>
  </si>
  <si>
    <t>pour son avenir.</t>
  </si>
  <si>
    <t xml:space="preserve">Pour vous permettre également d'utiliser cette méthode et d'en tirer le maximum de profit que vous soyez </t>
  </si>
  <si>
    <t>étape et le forum vous permettra d'affiner votre  propre évaluation.</t>
  </si>
  <si>
    <t xml:space="preserve">prochaine visite pour poser ces questions au vendeur. Les acheteurs ne posent généralement pas assez </t>
  </si>
  <si>
    <t>de question lors de leurs visites.</t>
  </si>
  <si>
    <t>Nombre de chambres</t>
  </si>
  <si>
    <r>
      <t xml:space="preserve">Si vous avez </t>
    </r>
    <r>
      <rPr>
        <b/>
        <sz val="10"/>
        <rFont val="Arial"/>
        <family val="2"/>
      </rPr>
      <t>la TV Satellite dans les chambres</t>
    </r>
    <r>
      <rPr>
        <sz val="10"/>
        <rFont val="Arial"/>
        <family val="2"/>
      </rPr>
      <t xml:space="preserve"> =&gt; entrez 4,
si non =&gt; entrez 1,</t>
    </r>
  </si>
  <si>
    <r>
      <t xml:space="preserve">L'hôtel est-il équipé de : piscine, tennis, golf miniature ou d'une autre </t>
    </r>
    <r>
      <rPr>
        <b/>
        <sz val="10"/>
        <rFont val="Arial"/>
        <family val="2"/>
      </rPr>
      <t>activité de loisirs</t>
    </r>
    <r>
      <rPr>
        <sz val="10"/>
        <rFont val="Arial"/>
        <family val="2"/>
      </rPr>
      <t xml:space="preserve"> ? Si oui =&gt; entrez 4 ;
si non =&gt; entrez 1.</t>
    </r>
  </si>
  <si>
    <r>
      <t>Jacuzzi, spa, salle musculation…</t>
    </r>
    <r>
      <rPr>
        <sz val="10"/>
        <rFont val="Arial"/>
        <family val="2"/>
      </rPr>
      <t xml:space="preserve"> Si oui =&gt; entrez 4 ;
si non =&gt; entrez 1.</t>
    </r>
  </si>
  <si>
    <r>
      <t xml:space="preserve">L'hôtel est-il équipé d'un </t>
    </r>
    <r>
      <rPr>
        <b/>
        <sz val="10"/>
        <rFont val="Arial"/>
        <family val="2"/>
      </rPr>
      <t>parking</t>
    </r>
    <r>
      <rPr>
        <sz val="10"/>
        <rFont val="Arial"/>
        <family val="2"/>
      </rPr>
      <t xml:space="preserve"> ? Si oui ou si vous louez des boxes dans un parking à proximité pour les mettre à la disposition de vos clients =&gt; entrez 4 ;
si non =&gt; entrez 1.</t>
    </r>
  </si>
  <si>
    <r>
      <t xml:space="preserve">L'hôtel est-il équipé d'un </t>
    </r>
    <r>
      <rPr>
        <b/>
        <sz val="10"/>
        <rFont val="Arial"/>
        <family val="2"/>
      </rPr>
      <t>garage</t>
    </r>
    <r>
      <rPr>
        <sz val="10"/>
        <rFont val="Arial"/>
        <family val="2"/>
      </rPr>
      <t xml:space="preserve"> : si oui =&gt; entrez 4 ;
si non =&gt; entrez 1.</t>
    </r>
  </si>
  <si>
    <r>
      <t xml:space="preserve">L'hôtel est-il équipé de </t>
    </r>
    <r>
      <rPr>
        <b/>
        <sz val="10"/>
        <rFont val="Arial"/>
        <family val="2"/>
      </rPr>
      <t>jardin</t>
    </r>
    <r>
      <rPr>
        <sz val="10"/>
        <rFont val="Arial"/>
        <family val="2"/>
      </rPr>
      <t xml:space="preserve"> ?
Si oui =&gt; entrez 4 ;  si non =&gt; entrez 1.</t>
    </r>
  </si>
  <si>
    <r>
      <t xml:space="preserve">S'il y a un </t>
    </r>
    <r>
      <rPr>
        <b/>
        <sz val="10"/>
        <rFont val="Arial"/>
        <family val="2"/>
      </rPr>
      <t xml:space="preserve">hall d'accueil </t>
    </r>
    <r>
      <rPr>
        <sz val="10"/>
        <rFont val="Arial"/>
        <family val="2"/>
      </rPr>
      <t xml:space="preserve">ou de </t>
    </r>
    <r>
      <rPr>
        <b/>
        <sz val="10"/>
        <rFont val="Arial"/>
        <family val="2"/>
      </rPr>
      <t>réception</t>
    </r>
    <r>
      <rPr>
        <sz val="10"/>
        <rFont val="Arial"/>
        <family val="2"/>
      </rPr>
      <t xml:space="preserve"> =&gt; entrez 4 ;
si non =&gt; entrez 1.</t>
    </r>
  </si>
  <si>
    <r>
      <t xml:space="preserve">S'il y a au minimum un </t>
    </r>
    <r>
      <rPr>
        <b/>
        <sz val="10"/>
        <rFont val="Arial"/>
        <family val="2"/>
      </rPr>
      <t xml:space="preserve">emplacement salon </t>
    </r>
    <r>
      <rPr>
        <sz val="10"/>
        <rFont val="Arial"/>
        <family val="2"/>
      </rPr>
      <t>dans le hall de l'hôtel =&gt; entrez 4 ;
si non =&gt; entrez 1.</t>
    </r>
  </si>
  <si>
    <r>
      <t xml:space="preserve">S'il y a 1 </t>
    </r>
    <r>
      <rPr>
        <b/>
        <sz val="10"/>
        <rFont val="Arial"/>
        <family val="2"/>
      </rPr>
      <t>salle petit-déjeuner</t>
    </r>
    <r>
      <rPr>
        <sz val="10"/>
        <rFont val="Arial"/>
        <family val="2"/>
      </rPr>
      <t xml:space="preserve"> =&gt; entrez 4,
si non entrez 1.</t>
    </r>
  </si>
  <si>
    <r>
      <t xml:space="preserve">S'il y a possibilité de créer 1 ou plusieurs </t>
    </r>
    <r>
      <rPr>
        <b/>
        <sz val="10"/>
        <rFont val="Arial"/>
        <family val="2"/>
      </rPr>
      <t>salle de séminaires</t>
    </r>
    <r>
      <rPr>
        <sz val="10"/>
        <rFont val="Arial"/>
        <family val="2"/>
      </rPr>
      <t xml:space="preserve"> =&gt; entrez 4,
si non =&gt; entrez 1,</t>
    </r>
  </si>
  <si>
    <r>
      <t xml:space="preserve">S'il y a une </t>
    </r>
    <r>
      <rPr>
        <b/>
        <sz val="10"/>
        <rFont val="Arial"/>
        <family val="2"/>
      </rPr>
      <t>terrasse</t>
    </r>
    <r>
      <rPr>
        <sz val="10"/>
        <rFont val="Arial"/>
        <family val="2"/>
      </rPr>
      <t xml:space="preserve"> =&gt; entrez 4, si non =&gt; entrez 1.</t>
    </r>
  </si>
  <si>
    <r>
      <t xml:space="preserve">S'il y a un </t>
    </r>
    <r>
      <rPr>
        <b/>
        <sz val="10"/>
        <rFont val="Arial"/>
        <family val="2"/>
      </rPr>
      <t>bureau</t>
    </r>
    <r>
      <rPr>
        <sz val="10"/>
        <rFont val="Arial"/>
        <family val="2"/>
      </rPr>
      <t xml:space="preserve"> pour la direction =&gt; entrez 4, si non =&gt; entrez 1.</t>
    </r>
  </si>
  <si>
    <t xml:space="preserve">profession. Les chiffres  sont issues de leurs publications : MKG, COACH OMNIUM, Centre de Gestion Agréés, </t>
  </si>
  <si>
    <t xml:space="preserve">GIRA, INSEE. Nous prenons également en considération les informations de notre base de donnée ainsi que </t>
  </si>
  <si>
    <t>oui</t>
  </si>
  <si>
    <r>
      <t xml:space="preserve">* Le montant des dépenses  annuelles d'entretien - </t>
    </r>
    <r>
      <rPr>
        <sz val="10"/>
        <rFont val="Arial"/>
        <family val="2"/>
      </rPr>
      <t>sources : Grand livre / Cabinet Comptable</t>
    </r>
  </si>
  <si>
    <r>
      <t xml:space="preserve">* Chiffres sur l'évolution touristique - </t>
    </r>
    <r>
      <rPr>
        <sz val="10"/>
        <rFont val="Arial"/>
        <family val="2"/>
      </rPr>
      <t>source : CDT / OT</t>
    </r>
  </si>
  <si>
    <t xml:space="preserve">Pour cela vous devez avant tout être en possession des informations suivantes : </t>
  </si>
  <si>
    <t xml:space="preserve">Remarques : </t>
  </si>
  <si>
    <t>CHIFFRE AFFAIRES TTC</t>
  </si>
  <si>
    <t>TOTAL CA HT</t>
  </si>
  <si>
    <t>MARGE COMMERCIALE</t>
  </si>
  <si>
    <t>Frais Exploitation</t>
  </si>
  <si>
    <t>Loyer + Charges</t>
  </si>
  <si>
    <t>VALEUR AJOUTEE</t>
  </si>
  <si>
    <t>Impôts et Taxes</t>
  </si>
  <si>
    <t xml:space="preserve">Salaires &amp; Charges </t>
  </si>
  <si>
    <t>EXCEDENT BRUT EXPLOITATION</t>
  </si>
  <si>
    <t>EVALUER UN FONDS DE COMMERCE ... TOUT SAUF SIMPLE !</t>
  </si>
  <si>
    <t>Nous avons retenu un coefficient de 2,2 fois le CA TTC. De Nombreux experts estiment qu'il représente la valeur</t>
  </si>
  <si>
    <t>moyenne des transactions d'hôtels sans restaurant. Cette méthode va produire, en générale, la valorisation la plus</t>
  </si>
  <si>
    <t>suffisant pour payer ses charges et dégager du profit,  il ne peut préjuger d'un niveau de résultat. Il faut donc garder</t>
  </si>
  <si>
    <t>EBE</t>
  </si>
  <si>
    <t>Données de l'Emprunt</t>
  </si>
  <si>
    <t>IMPOTS SUR BIC</t>
  </si>
  <si>
    <t>TAUX</t>
  </si>
  <si>
    <t>DUREE</t>
  </si>
  <si>
    <t>7 ans</t>
  </si>
  <si>
    <t>AUTRES</t>
  </si>
  <si>
    <t>CAPACITE D'EMPRUNT</t>
  </si>
  <si>
    <t>CAPITAL EMPRUNT</t>
  </si>
  <si>
    <t>APPORT 30%</t>
  </si>
  <si>
    <r>
      <t>La capacité d'emprunt</t>
    </r>
    <r>
      <rPr>
        <sz val="10"/>
        <rFont val="Arial"/>
        <family val="2"/>
      </rPr>
      <t xml:space="preserve"> (montant  annuel de remboursement disponible) doit permettre de rembourser un prêt sur </t>
    </r>
  </si>
  <si>
    <t>Au capital de l'emprunt ainsi calculé,  on rajoutera un apport de 30% généralement exigé par les banquiers pour</t>
  </si>
  <si>
    <t xml:space="preserve">Avec cette méthode on, diminue le montant de l'Excédent Brut d'Exploitation (EBE) de l'Impôt sur les Bénéfices Industriels et </t>
  </si>
  <si>
    <t>LICENCE IV</t>
  </si>
  <si>
    <t>TOTAL</t>
  </si>
  <si>
    <t>Nous avons pondéré les résultats de chaque méthode en considérant que le résultat de l'évaluation par la méthode 1</t>
  </si>
  <si>
    <t>avait un coefficient de 1 quand les résultats de la méthode 2 et 3 avaient un coefficient de 2.</t>
  </si>
  <si>
    <t>à être déplacée ce qui la ferait valoriser à la hausse.</t>
  </si>
  <si>
    <t>&gt; de 15% à 29,78%</t>
  </si>
  <si>
    <t>&gt; de 10% à 30,94%</t>
  </si>
  <si>
    <t>&gt; de 5% à 30,94%</t>
  </si>
  <si>
    <t>&gt; de 15% à 30,94%</t>
  </si>
  <si>
    <t>BTS et +</t>
  </si>
  <si>
    <t>Bac Pro</t>
  </si>
  <si>
    <t>CQP</t>
  </si>
  <si>
    <t>Sans qualification</t>
  </si>
  <si>
    <t>égal à 29,78%</t>
  </si>
  <si>
    <t>égal à 30,94%</t>
  </si>
  <si>
    <t>Le résultat de votre opération masse salariale / CA HT est :</t>
  </si>
  <si>
    <t>Vos salaires et charges salariales</t>
  </si>
  <si>
    <t>La case verte sera renseigner avec le chiffre</t>
  </si>
  <si>
    <t xml:space="preserve">Le chiffre de la case verte sera </t>
  </si>
  <si>
    <t>Le chiffre de la case verte sera</t>
  </si>
  <si>
    <t>7 ans et +</t>
  </si>
  <si>
    <t>entre 5 et 7 ans</t>
  </si>
  <si>
    <t>entre 3 et 5 ans</t>
  </si>
  <si>
    <t xml:space="preserve">moins de 3 ans </t>
  </si>
  <si>
    <t xml:space="preserve"> </t>
  </si>
  <si>
    <t>LES LOCAUX</t>
  </si>
  <si>
    <t>Total</t>
  </si>
  <si>
    <t>Avis favorable à la poursuite de l'exploitation</t>
  </si>
  <si>
    <t>Etat Entretien des locaux</t>
  </si>
  <si>
    <t>ANNEE dernière grosse rénovation</t>
  </si>
  <si>
    <t>Climatisation</t>
  </si>
  <si>
    <t>Double Vitrage</t>
  </si>
  <si>
    <t>Moyen de Chauffage</t>
  </si>
  <si>
    <t>MATERIEL HÔTEL</t>
  </si>
  <si>
    <t>Nombre suffisant</t>
  </si>
  <si>
    <t>Entretien du matériel</t>
  </si>
  <si>
    <t xml:space="preserve">Logiciel Réservation &amp; Gestion </t>
  </si>
  <si>
    <t>Satellite Télé Chambre</t>
  </si>
  <si>
    <t xml:space="preserve">L'existence de ces contrats est une preuve de la qualité de la prospection commerciale de l'entreprise, Ils ne sont pas limitatifs aux entreprises et aux autocaristes. Entrez 1, si l'établissement n'en possède aucun, 2  s'il en 1 à 2, 3, s'il en a entre 3 et 4, et 4 s'il en a 5 et plus. </t>
  </si>
  <si>
    <t>L'existence de ces contrats est une preuve de la qualité de la prospection commerciale de l'entreprise. En outre, ils garantissent par leur ancienneté une certaine notoriété de l'enseigne. Entrez 4, si oui, 1, sinon</t>
  </si>
  <si>
    <t>La méthode d'évaluation doit être accessible et comprise par le plus grand</t>
  </si>
  <si>
    <t xml:space="preserve">d'évaluateurs : gestionnaires, banquiers, experts comptables, cabinet d'affaires spécialisés, experts auprès </t>
  </si>
  <si>
    <t xml:space="preserve">de la cour, avocats, inspecteurs des impôts... Toutes sont intéressantes mais toutes poursuivent des </t>
  </si>
  <si>
    <t>page suivante</t>
  </si>
  <si>
    <t>retour</t>
  </si>
  <si>
    <t>suivant</t>
  </si>
  <si>
    <t xml:space="preserve">objectifs différents ! En fait tout dépend de la position professionnelle et du rôle de l'évaluateur vis-à-vis de l'affaire </t>
  </si>
  <si>
    <t>à évaluer, du mandat qu'il à reçu et... de son intérêt par rapport à cette évaluation.</t>
  </si>
  <si>
    <t xml:space="preserve">Il s'ensuit parfois des confusions et pire... des incompréhensions  qui mènent à des affrontements entre les </t>
  </si>
  <si>
    <t>n-3</t>
  </si>
  <si>
    <t>n-2</t>
  </si>
  <si>
    <t>n-1</t>
  </si>
  <si>
    <r>
      <t xml:space="preserve">parties au lieu de les mener </t>
    </r>
    <r>
      <rPr>
        <b/>
        <sz val="10"/>
        <rFont val="Arial"/>
        <family val="2"/>
      </rPr>
      <t xml:space="preserve">vers l'unique but qui doit être recherché en la matière </t>
    </r>
    <r>
      <rPr>
        <sz val="10"/>
        <rFont val="Arial"/>
        <family val="2"/>
      </rPr>
      <t xml:space="preserve">: leur permettre de </t>
    </r>
  </si>
  <si>
    <t xml:space="preserve">De plus parmi ces méthodes celles dites financières ou relevant de l'étude du bilan de l'entreprise sont </t>
  </si>
  <si>
    <t xml:space="preserve">souvent très compliquées à mettre en œuvre car nécessitant des retraitements fréquents et la parfaite </t>
  </si>
  <si>
    <t xml:space="preserve">connaissance du système comptable. Hors nous pensons à Neghotel que les méthodes employées doivent </t>
  </si>
  <si>
    <t xml:space="preserve">être accessibles au plus grand nombre de professionnels pour permettre la négociation entre les parties </t>
  </si>
  <si>
    <t xml:space="preserve">en servant de base commune. Certes, chacun cherchera à tirer son épingle du jeu, en valorisant mieux ou moins </t>
  </si>
  <si>
    <t>Votre score pour la productivité est de</t>
  </si>
  <si>
    <t>Votre score pour les frais de personnel est de</t>
  </si>
  <si>
    <t>Votre score pour le nombre d'employé
par chambre est de</t>
  </si>
  <si>
    <t>Votre classement (nombre d'étoile)</t>
  </si>
  <si>
    <r>
      <t xml:space="preserve">Il s'agit de la totalité des dépenses faites en communication et actions marketing : les dépenses de prospection et de commercialisation, la pub, la présence sur les salons…y compris le salaire du commercial si cela est le cas.
Si ces dépenses sont </t>
    </r>
    <r>
      <rPr>
        <b/>
        <sz val="10"/>
        <rFont val="Arial"/>
        <family val="2"/>
      </rPr>
      <t>&lt; à 2%</t>
    </r>
    <r>
      <rPr>
        <sz val="10"/>
        <rFont val="Arial"/>
        <family val="2"/>
      </rPr>
      <t xml:space="preserve"> du CA HT =&gt; </t>
    </r>
    <r>
      <rPr>
        <b/>
        <sz val="10"/>
        <rFont val="Arial"/>
        <family val="2"/>
      </rPr>
      <t>entrez 1 ;</t>
    </r>
    <r>
      <rPr>
        <sz val="10"/>
        <rFont val="Arial"/>
        <family val="2"/>
      </rPr>
      <t xml:space="preserve"> si elles sont comprises </t>
    </r>
    <r>
      <rPr>
        <b/>
        <sz val="10"/>
        <rFont val="Arial"/>
        <family val="2"/>
      </rPr>
      <t>entre 2 et 3% =&gt; entrez 2 ;</t>
    </r>
    <r>
      <rPr>
        <sz val="10"/>
        <rFont val="Arial"/>
        <family val="2"/>
      </rPr>
      <t xml:space="preserve"> si elles sont </t>
    </r>
    <r>
      <rPr>
        <b/>
        <sz val="10"/>
        <rFont val="Arial"/>
        <family val="2"/>
      </rPr>
      <t>comprises entre 3 et 4% =&gt; entrez 3 ;</t>
    </r>
    <r>
      <rPr>
        <sz val="10"/>
        <rFont val="Arial"/>
        <family val="2"/>
      </rPr>
      <t xml:space="preserve"> si elles sont </t>
    </r>
    <r>
      <rPr>
        <b/>
        <sz val="10"/>
        <rFont val="Arial"/>
        <family val="2"/>
      </rPr>
      <t>&gt; à 4% =&gt; entrez 4</t>
    </r>
    <r>
      <rPr>
        <sz val="10"/>
        <rFont val="Arial"/>
        <family val="2"/>
      </rPr>
      <t>.</t>
    </r>
  </si>
  <si>
    <t>Votre score CA annuel
sur nombre de chambres louables est de</t>
  </si>
  <si>
    <t>=</t>
  </si>
  <si>
    <t>&gt;</t>
  </si>
  <si>
    <t>&lt;10%</t>
  </si>
  <si>
    <t>&lt; 5%</t>
  </si>
  <si>
    <t>Votre CA HT année n-1</t>
  </si>
  <si>
    <t>Votre CA HT année n-2</t>
  </si>
  <si>
    <t>L'évolution de votre CA est de</t>
  </si>
  <si>
    <t>Votre CA HT année n-3</t>
  </si>
  <si>
    <t>Evolution du CA : Tableau repère de correspondance des points :</t>
  </si>
  <si>
    <t>inférieur de 5% par rapport à 26,43%, entrez 2</t>
  </si>
  <si>
    <t>inférieur de 10% par rapport à 26,43%, entrez 1</t>
  </si>
  <si>
    <t>&lt; de 5 % soit :</t>
  </si>
  <si>
    <t>&lt; de 10 %, soit :</t>
  </si>
  <si>
    <t>Votre score concernant l'évolution de l'EBE
sur les 3 dernières années est de</t>
  </si>
  <si>
    <t>Votre EBE année n-1</t>
  </si>
  <si>
    <t>Votre EBE année n-2</t>
  </si>
  <si>
    <t>Votre EBE année n-3</t>
  </si>
  <si>
    <t>L'évolution de votre EBE sur 3 ans est de</t>
  </si>
  <si>
    <r>
      <t xml:space="preserve">AIDE AU REMPLISSAGE :
</t>
    </r>
    <r>
      <rPr>
        <b/>
        <sz val="12"/>
        <color indexed="10"/>
        <rFont val="Arial"/>
        <family val="2"/>
      </rPr>
      <t>A vous d'apprécier si cette possibilité est faible, moyenne, bonne ou très bonne</t>
    </r>
  </si>
  <si>
    <r>
      <t>Si vous estimez que votre capacité à accueillir des clientèles que vous n'avez pas encore démarchées est :</t>
    </r>
    <r>
      <rPr>
        <b/>
        <sz val="10"/>
        <color indexed="10"/>
        <rFont val="Arial"/>
        <family val="2"/>
      </rPr>
      <t xml:space="preserve">
-</t>
    </r>
    <r>
      <rPr>
        <b/>
        <sz val="10"/>
        <rFont val="Arial"/>
        <family val="2"/>
      </rPr>
      <t xml:space="preserve"> faible =&gt; entrez 1,
</t>
    </r>
    <r>
      <rPr>
        <b/>
        <sz val="10"/>
        <color indexed="10"/>
        <rFont val="Arial"/>
        <family val="2"/>
      </rPr>
      <t>-</t>
    </r>
    <r>
      <rPr>
        <b/>
        <sz val="10"/>
        <rFont val="Arial"/>
        <family val="2"/>
      </rPr>
      <t xml:space="preserve"> moyenne =&gt; entrez 2,
</t>
    </r>
    <r>
      <rPr>
        <b/>
        <sz val="10"/>
        <color indexed="10"/>
        <rFont val="Arial"/>
        <family val="2"/>
      </rPr>
      <t>-</t>
    </r>
    <r>
      <rPr>
        <b/>
        <sz val="10"/>
        <rFont val="Arial"/>
        <family val="2"/>
      </rPr>
      <t xml:space="preserve"> bonne =&gt; entrez 3,
</t>
    </r>
    <r>
      <rPr>
        <b/>
        <sz val="10"/>
        <color indexed="10"/>
        <rFont val="Arial"/>
        <family val="2"/>
      </rPr>
      <t>-</t>
    </r>
    <r>
      <rPr>
        <b/>
        <sz val="10"/>
        <rFont val="Arial"/>
        <family val="2"/>
      </rPr>
      <t xml:space="preserve"> très bonne =&gt; entrez 4.</t>
    </r>
  </si>
  <si>
    <t>Votre score concernant la clientèle potentielle est de</t>
  </si>
  <si>
    <t>bien tel ou tel critère mais les impacts sur la valeur resteront limitées si  les parties sont d'accords sur la majeure</t>
  </si>
  <si>
    <t>partie de l'évaluation.</t>
  </si>
  <si>
    <r>
      <t xml:space="preserve">de justifier un prix : </t>
    </r>
    <r>
      <rPr>
        <b/>
        <sz val="10"/>
        <rFont val="Arial"/>
        <family val="2"/>
      </rPr>
      <t>notre prix !</t>
    </r>
  </si>
  <si>
    <t>la discussion, la négociation, la justification d'un prix !</t>
  </si>
  <si>
    <r>
      <t xml:space="preserve">rentabilité de l'affaire. La clientèle doit </t>
    </r>
    <r>
      <rPr>
        <b/>
        <sz val="10"/>
        <rFont val="Arial"/>
        <family val="2"/>
      </rPr>
      <t xml:space="preserve">à la fois être la plus importante possible et dégager un profit pour </t>
    </r>
  </si>
  <si>
    <t xml:space="preserve">d'une façon légèrement différente afin de la rendre plus claire pour tous : </t>
  </si>
  <si>
    <t>celui qui l'exploite. Pas de clientèle = pas de fonds de commerce et s'il n'y a pas de profits, l'évaluation va être</t>
  </si>
  <si>
    <t>réduite à la valorisation des moyens de production et à celle du droit au bail.</t>
  </si>
  <si>
    <r>
      <t xml:space="preserve">L'évaluation de </t>
    </r>
    <r>
      <rPr>
        <b/>
        <i/>
        <sz val="10"/>
        <rFont val="Arial"/>
        <family val="2"/>
      </rPr>
      <t>l'ensemble des moyens qui permettent d'exploiter une affaire, de la conserver et de la</t>
    </r>
  </si>
  <si>
    <t>commerce ; il repose sur 4 types de critères qui sont :</t>
  </si>
  <si>
    <r>
      <t xml:space="preserve">  1°) </t>
    </r>
    <r>
      <rPr>
        <sz val="10"/>
        <rFont val="Arial"/>
        <family val="2"/>
      </rPr>
      <t>L'efficacité du management actuel,</t>
    </r>
  </si>
  <si>
    <r>
      <t xml:space="preserve">  2°)</t>
    </r>
    <r>
      <rPr>
        <sz val="10"/>
        <rFont val="Arial"/>
        <family val="2"/>
      </rPr>
      <t xml:space="preserve"> La qualité de l'outil de travail,</t>
    </r>
  </si>
  <si>
    <r>
      <t xml:space="preserve">  3°)</t>
    </r>
    <r>
      <rPr>
        <sz val="10"/>
        <rFont val="Arial"/>
        <family val="2"/>
      </rPr>
      <t xml:space="preserve"> Les Moyens commerciaux et la stratégie marketing,</t>
    </r>
  </si>
  <si>
    <r>
      <t xml:space="preserve">  4°)</t>
    </r>
    <r>
      <rPr>
        <sz val="10"/>
        <rFont val="Arial"/>
        <family val="2"/>
      </rPr>
      <t xml:space="preserve"> Les caractéristiques  économiques  de l'exploitation,</t>
    </r>
  </si>
  <si>
    <t xml:space="preserve">vendeur ou acheteur nous vous proposons d'aller plus avant dans ce blog. Vous serez guidé dans chaque </t>
  </si>
  <si>
    <t>Jean CASTELL - Auteur</t>
  </si>
  <si>
    <r>
      <t>* Le nombre d'employés</t>
    </r>
    <r>
      <rPr>
        <sz val="10"/>
        <rFont val="Arial"/>
        <family val="2"/>
      </rPr>
      <t xml:space="preserve"> -  source : Livre entrée et sortie du personnel</t>
    </r>
  </si>
  <si>
    <t>Page 1 - INTRODUCTION</t>
  </si>
  <si>
    <r>
      <t>* Le montant des dépenses engagées en communication et marketing</t>
    </r>
    <r>
      <rPr>
        <sz val="10"/>
        <rFont val="Arial"/>
        <family val="2"/>
      </rPr>
      <t xml:space="preserve"> - sources : Idem</t>
    </r>
  </si>
  <si>
    <r>
      <t>* Les évolutions de la zone de chalandise</t>
    </r>
    <r>
      <rPr>
        <sz val="10"/>
        <rFont val="Arial"/>
        <family val="2"/>
      </rPr>
      <t xml:space="preserve"> - source : Mairie (PLU) / DDE / CCI</t>
    </r>
  </si>
  <si>
    <t>&lt; de 5% à réf.</t>
  </si>
  <si>
    <t>&lt; de 10% à réf.</t>
  </si>
  <si>
    <t xml:space="preserve">&lt; de 15% à réf. </t>
  </si>
  <si>
    <t>égal à réf.</t>
  </si>
  <si>
    <t>c24</t>
  </si>
  <si>
    <t>e24</t>
  </si>
  <si>
    <t>MÉTHODE 1 : Clientèle et Rentabilité
étape 4 sur 5 - Capacité d'emprunt</t>
  </si>
  <si>
    <t>MÉTHODE 1 : Clientèle et Rentabilité
étape 1 sur 5 - Bilan et compte de résultat</t>
  </si>
  <si>
    <r>
      <t xml:space="preserve">Plus un hôtel a de </t>
    </r>
    <r>
      <rPr>
        <b/>
        <sz val="10"/>
        <rFont val="Arial"/>
        <family val="2"/>
      </rPr>
      <t>chambres</t>
    </r>
    <r>
      <rPr>
        <sz val="10"/>
        <rFont val="Arial"/>
        <family val="2"/>
      </rPr>
      <t xml:space="preserve"> plus il est rentable ! En effet, on pourra pratiquer des économies d'échelle sur les coûts fixes (ex: le salaire d'un veilleur coute moins cher ramené à l'unité chambre s'il est amorti sur 30 chambre au lieu de 20). Sa  gestion sera plus équilibrée et il pourra dégager des moyens pour son entretien et sa promotion :
</t>
    </r>
    <r>
      <rPr>
        <b/>
        <sz val="10"/>
        <color indexed="10"/>
        <rFont val="Arial"/>
        <family val="2"/>
      </rPr>
      <t>-</t>
    </r>
    <r>
      <rPr>
        <sz val="10"/>
        <rFont val="Arial"/>
        <family val="2"/>
      </rPr>
      <t xml:space="preserve"> si vous avez moins de 25 chambres =&gt; entrez 1 ;
</t>
    </r>
    <r>
      <rPr>
        <b/>
        <sz val="10"/>
        <color indexed="10"/>
        <rFont val="Arial"/>
        <family val="2"/>
      </rPr>
      <t>-</t>
    </r>
    <r>
      <rPr>
        <sz val="10"/>
        <rFont val="Arial"/>
        <family val="2"/>
      </rPr>
      <t xml:space="preserve"> entre 26 et 35 chambres =&gt; entrez 2 ;
</t>
    </r>
    <r>
      <rPr>
        <b/>
        <sz val="10"/>
        <color indexed="10"/>
        <rFont val="Arial"/>
        <family val="2"/>
      </rPr>
      <t>-</t>
    </r>
    <r>
      <rPr>
        <sz val="10"/>
        <rFont val="Arial"/>
        <family val="2"/>
      </rPr>
      <t xml:space="preserve"> entre 36 et 45 chambres =&gt; entrez 3 ;
</t>
    </r>
    <r>
      <rPr>
        <b/>
        <sz val="10"/>
        <color indexed="10"/>
        <rFont val="Arial"/>
        <family val="2"/>
      </rPr>
      <t>-</t>
    </r>
    <r>
      <rPr>
        <sz val="10"/>
        <rFont val="Arial"/>
        <family val="2"/>
      </rPr>
      <t xml:space="preserve"> à partir de 46 chambres =&gt; entrez 4.</t>
    </r>
  </si>
  <si>
    <t xml:space="preserve">Vous venez, en suivant la démarche d'évaluation préconisée par le cabinet Neghotel de déterminer des fourchettes de valorisation </t>
  </si>
  <si>
    <t xml:space="preserve">Ce n'est pas LE PRIX définitif mais des approches sur  lesquelles vous devez vous pencher pour en comprendre les bases et les </t>
  </si>
  <si>
    <t>de votre affaire, ou de l'affaire que vous souhaitez acquérir.</t>
  </si>
  <si>
    <t xml:space="preserve">Cette démarche se veut également pédagogique dans sa conception. En effet, que vous soyez vendeur ou acheteur, elle doit vous </t>
  </si>
  <si>
    <t>permettre de vérifier que vous disposez bien de l'information minimum pour  prendre une décision ; elle est donc une aide à la décision.</t>
  </si>
  <si>
    <t>A bientôt sur le forum ou vous pourrez me faire part de vos questions mais aussi de vos remarques et suggestions !</t>
  </si>
  <si>
    <r>
      <t xml:space="preserve">* Le compte de résultat sur 3 ans - </t>
    </r>
    <r>
      <rPr>
        <sz val="10"/>
        <rFont val="Arial"/>
        <family val="2"/>
      </rPr>
      <t>source : Cabinet comptable</t>
    </r>
  </si>
  <si>
    <t>A noter que si vous êtes en nom propre et non en société, vous n'êtes pas concerné par cette ligne.</t>
  </si>
  <si>
    <t>Commerciaux (BIC), et du montants des investissements autofinancés.</t>
  </si>
  <si>
    <t xml:space="preserve">une durée de 7 ans (durée généralement admise pour un prêt de financement d'un fonds de commerce). </t>
  </si>
  <si>
    <t>déterminer la valeur du fonds de commerce.</t>
  </si>
  <si>
    <t>INVESTISSEMENTS ANNUELS</t>
  </si>
  <si>
    <t>Nous valorisons toujours à part le fait que l'établissement possède une licence IV. En effet, celle-ci n'étant pas</t>
  </si>
  <si>
    <r>
      <t>(nb)</t>
    </r>
    <r>
      <rPr>
        <b/>
        <sz val="10"/>
        <rFont val="Arial"/>
        <family val="2"/>
      </rPr>
      <t xml:space="preserve"> Lorsque vous cliquez sur ‘Cliquez ici pour continuer’ :
</t>
    </r>
    <r>
      <rPr>
        <sz val="10"/>
        <rFont val="Arial"/>
        <family val="2"/>
      </rPr>
      <t xml:space="preserve">si une fenêtre s’ouvre et vous propose 3 options, cliquez sur </t>
    </r>
    <r>
      <rPr>
        <b/>
        <sz val="10"/>
        <rFont val="Arial"/>
        <family val="2"/>
      </rPr>
      <t>NON</t>
    </r>
    <r>
      <rPr>
        <sz val="10"/>
        <rFont val="Arial"/>
        <family val="2"/>
      </rPr>
      <t xml:space="preserve"> (ne cliquez pas sur oui, ni sur annuler).
Vos données seront conservées pendant toute la session et vous pourrez naviguer d’une page à l’autre.
Par contre, vos données seront effacées si vous quittez la session en cours. Aussi, avant de quitter la session, n’oubliez pas d’imprimer les pages du tableur pour conserver une copie de l’évaluation de votre affaire.</t>
    </r>
  </si>
  <si>
    <r>
      <t>Cliquez ici pour continuer</t>
    </r>
    <r>
      <rPr>
        <b/>
        <u val="single"/>
        <vertAlign val="superscript"/>
        <sz val="12"/>
        <color indexed="10"/>
        <rFont val="Arial"/>
        <family val="2"/>
      </rPr>
      <t xml:space="preserve"> (nb)</t>
    </r>
  </si>
  <si>
    <t>indispensable pour l'exploitation de l'hôtel, elle est considérée comme une richesse supplémentaire qu'il faut valoriser.</t>
  </si>
  <si>
    <t xml:space="preserve">Par hypothèse de travail, nous la valorisons toujours au même montant de 15.000 € sans préjuger de sa capacité </t>
  </si>
  <si>
    <t xml:space="preserve">Licence IV : </t>
  </si>
  <si>
    <t>Ces résultats vont venir se cumuler à ceux du NEGHOSCORE pour parvenir à l'évaluation globale NEGHOTEL.</t>
  </si>
  <si>
    <t>Cliquez ici pour continuer et passer à l'étape de l'évaluation selon Neghoscore</t>
  </si>
  <si>
    <t>Si votre coefficient est :</t>
  </si>
  <si>
    <t>Votre nombre de chambres</t>
  </si>
  <si>
    <t>Tableau de correspondance pour un</t>
  </si>
  <si>
    <t>Votre classement (nombre d'étoiles)</t>
  </si>
  <si>
    <r>
      <t>Exemple :</t>
    </r>
    <r>
      <rPr>
        <sz val="10"/>
        <rFont val="Arial"/>
        <family val="2"/>
      </rPr>
      <t xml:space="preserve"> pour un hôtel bureau 3* qui emploie 19 employés pour 50 chambres, le calcul est le suivant :</t>
    </r>
  </si>
  <si>
    <t>Remarques :</t>
  </si>
  <si>
    <t>CARACTERISTIQUES ECONOMIQUES DE L'EXPLOITATION</t>
  </si>
  <si>
    <t>Loyer + Charges en % du CA HT</t>
  </si>
  <si>
    <t>Durée à courir</t>
  </si>
  <si>
    <t>Charges à payer Excessives</t>
  </si>
  <si>
    <t>Travaux Conformité à la charge du locataire</t>
  </si>
  <si>
    <t>LOGEMENT FONCTION</t>
  </si>
  <si>
    <t>supérieur à 59%*</t>
  </si>
  <si>
    <t xml:space="preserve">Entrez le chiffre </t>
  </si>
  <si>
    <t>supérieur à 57%*</t>
  </si>
  <si>
    <t>supérieur à 53%*</t>
  </si>
  <si>
    <t>supérieur à 58%*</t>
  </si>
  <si>
    <t>supérieur à 63%*</t>
  </si>
  <si>
    <t>LITTORAL et le TO moyen est</t>
  </si>
  <si>
    <t>MONTAGNE et le TO moyen est</t>
  </si>
  <si>
    <t>RURAL et le TO moyen est</t>
  </si>
  <si>
    <t>THERMAL et le TO moyen est</t>
  </si>
  <si>
    <t>AXE ROUTIER et le TO moyen est</t>
  </si>
  <si>
    <t>CENTRE VILLE et le TO moyen est</t>
  </si>
  <si>
    <t>compris entre 57% et 63%</t>
  </si>
  <si>
    <t>compris entre 51% et 57%</t>
  </si>
  <si>
    <t>compris entre 52% et 58%</t>
  </si>
  <si>
    <t>compris entre 47% et 53%</t>
  </si>
  <si>
    <t>compris entre 53% et 59%</t>
  </si>
  <si>
    <t>supérieur à 65%*</t>
  </si>
  <si>
    <t>compris entre 59% et 65%</t>
  </si>
  <si>
    <t>supérieur à 47%*</t>
  </si>
  <si>
    <t>compris entre 41% et 47%</t>
  </si>
  <si>
    <t>supérieur à 61%*</t>
  </si>
  <si>
    <t>compris entre 55% et 61%</t>
  </si>
  <si>
    <t>supérieur à 76%*</t>
  </si>
  <si>
    <t>supérieur à 66%*</t>
  </si>
  <si>
    <t>compris entre 61% et 66%</t>
  </si>
  <si>
    <r>
      <t>NB :</t>
    </r>
    <r>
      <rPr>
        <sz val="10"/>
        <rFont val="Arial"/>
        <family val="2"/>
      </rPr>
      <t xml:space="preserve"> le message ci-dessous vous guidera tout au long de cette simulation à remplir les champs nécessaires.</t>
    </r>
  </si>
  <si>
    <r>
      <t>AIDE AU REMPLISSAGE :</t>
    </r>
    <r>
      <rPr>
        <b/>
        <sz val="12"/>
        <rFont val="Arial"/>
        <family val="2"/>
      </rPr>
      <t xml:space="preserve">
Tapez oui ou non dans la case en jaune ci-dessous en réponse à la question :
</t>
    </r>
    <r>
      <rPr>
        <b/>
        <sz val="12"/>
        <color indexed="10"/>
        <rFont val="Arial"/>
        <family val="2"/>
      </rPr>
      <t>"Une licence IV est-elle vendue avec le fonds de commerce ?"</t>
    </r>
  </si>
  <si>
    <t>Tableaux repères qui servent à déterminer le résultat :</t>
  </si>
  <si>
    <t>19/50 = 0,38 ce qui est égal à la norme professionnelle pour cette catégorie d'hôtel, le chiffre qui se reporte dans le tableau Résultat ci-dessous est 4.</t>
  </si>
  <si>
    <t>Tableau repère de correspondance des points :</t>
  </si>
  <si>
    <t>Tableau de correspondance des points :</t>
  </si>
  <si>
    <t>compris entre 70% et 76%</t>
  </si>
  <si>
    <r>
      <t xml:space="preserve">Méthode 1 : clientèle et rentabilité </t>
    </r>
    <r>
      <rPr>
        <b/>
        <sz val="10"/>
        <color indexed="49"/>
        <rFont val="Arial"/>
        <family val="2"/>
      </rPr>
      <t>(feuilles 3 à 7).</t>
    </r>
  </si>
  <si>
    <t>CA TTC MOYEN PONDÉRÉ</t>
  </si>
  <si>
    <t>Méthode "hôtelière"</t>
  </si>
  <si>
    <t>Le résultat de votre opération CA HT / nombre moyen d'employés est :</t>
  </si>
  <si>
    <t>sur 4</t>
  </si>
  <si>
    <t>entre 12 et 23 mois</t>
  </si>
  <si>
    <t>entre 24 et 35 mois</t>
  </si>
  <si>
    <r>
      <t xml:space="preserve">L'affaire est exploitée par le </t>
    </r>
    <r>
      <rPr>
        <b/>
        <sz val="12"/>
        <color indexed="10"/>
        <rFont val="Arial"/>
        <family val="2"/>
      </rPr>
      <t xml:space="preserve">même propriétaire depuis combien de temps ?
</t>
    </r>
    <r>
      <rPr>
        <sz val="10"/>
        <rFont val="Arial"/>
        <family val="2"/>
      </rPr>
      <t>Le taux de rotation des affaires en France dans le secteur des CHR est de 7 ans en moyenne. Toute durée inférieure peut apparaître suspecte
à un acheteur et doit être "motivée". Ici, à défaut d'explication on estime que c'est un 'moins' si elle est inférieure.</t>
    </r>
  </si>
  <si>
    <t>Cliquez ici pour poursuivre et évaluer la qualité de votre outil de travail</t>
  </si>
  <si>
    <t>égal à 26,43%, entrez 3</t>
  </si>
  <si>
    <t>Si elle vous paraît faible, entrez 1</t>
  </si>
  <si>
    <t>Si elle vous paraît moyenne, entrez 2</t>
  </si>
  <si>
    <t>Si elle vous paraît bonne, entrez 3</t>
  </si>
  <si>
    <t>Si elle vous paraît très bonne, entrez 4</t>
  </si>
  <si>
    <t>justifications et  vous permettre d'aborder la discussion et la négociation avec l'autre partie.</t>
  </si>
  <si>
    <t xml:space="preserve">Nb points possibles </t>
  </si>
  <si>
    <t>Nb points obtenus</t>
  </si>
  <si>
    <t>%</t>
  </si>
  <si>
    <t>COEFFICIENT PONDERE NEGHOTEL</t>
  </si>
  <si>
    <t>X 1</t>
  </si>
  <si>
    <t>X 3</t>
  </si>
  <si>
    <t>X 2</t>
  </si>
  <si>
    <t xml:space="preserve">COEFFICIENT  NEGHOTEL                                        APPLICABLE SUR LE CA </t>
  </si>
  <si>
    <t>VALEUR NEGHOSCORE</t>
  </si>
  <si>
    <t>EVALUATION PAR LE NEGHOSCORE</t>
  </si>
  <si>
    <t>EVALUATION  TOTALE NEGHOTEL</t>
  </si>
  <si>
    <t>VALORISATION GLOBALE</t>
  </si>
  <si>
    <t>Le coefficient pondéré  restitue ce calcul.</t>
  </si>
  <si>
    <r>
      <t>* Les salaires et charges</t>
    </r>
    <r>
      <rPr>
        <sz val="10"/>
        <rFont val="Arial"/>
        <family val="2"/>
      </rPr>
      <t xml:space="preserve"> -  source : Déclaration Annuelle Des Salaires  (DADS)</t>
    </r>
  </si>
  <si>
    <r>
      <t xml:space="preserve">* Les CV des employés </t>
    </r>
    <r>
      <rPr>
        <sz val="10"/>
        <rFont val="Arial"/>
        <family val="2"/>
      </rPr>
      <t>- source : Fiche d'embauche / dossier employé / Livre entrée et sortie du personnel.</t>
    </r>
  </si>
  <si>
    <r>
      <t xml:space="preserve">* L'avis de la commission de sécurité - </t>
    </r>
    <r>
      <rPr>
        <sz val="10"/>
        <rFont val="Arial"/>
        <family val="2"/>
      </rPr>
      <t xml:space="preserve">source : Mairie </t>
    </r>
  </si>
  <si>
    <r>
      <t xml:space="preserve">* Chiffres sur la concurrence - </t>
    </r>
    <r>
      <rPr>
        <sz val="10"/>
        <rFont val="Arial"/>
        <family val="2"/>
      </rPr>
      <t>source : CCI / INSEE</t>
    </r>
  </si>
  <si>
    <r>
      <t xml:space="preserve">* Le bail - </t>
    </r>
    <r>
      <rPr>
        <sz val="10"/>
        <rFont val="Arial"/>
        <family val="2"/>
      </rPr>
      <t>source :  Notaire / Bailleur</t>
    </r>
  </si>
  <si>
    <r>
      <t xml:space="preserve">* Le document des Soldes Intermédiaires de Gestion - </t>
    </r>
    <r>
      <rPr>
        <sz val="10"/>
        <rFont val="Arial"/>
        <family val="2"/>
      </rPr>
      <t>source : Cabinet comptable</t>
    </r>
  </si>
  <si>
    <t>celles publiées dans le journal de L'Hôtellerie Restauration et des blogs des experts.</t>
  </si>
  <si>
    <t xml:space="preserve">indispensable pour les activités d'hôtel bureau et de restauration, elle représente une richesse supplémentaire </t>
  </si>
  <si>
    <t>à valoriser. Pour simplifier les approches et à défaut de précision sur sa mobilité nous la valorisons à 15.000 €,</t>
  </si>
  <si>
    <t>Cliquez ici pour commencer</t>
  </si>
  <si>
    <t>EVALUER UN HÔTEL BUREAU AVEC LE NEGHOSCORE</t>
  </si>
  <si>
    <t>si elle fixe  un prix que personne n'est d'accord pour payer ?</t>
  </si>
  <si>
    <t>Cliquez ici pour continuer</t>
  </si>
  <si>
    <r>
      <t>1°)</t>
    </r>
    <r>
      <rPr>
        <sz val="10"/>
        <rFont val="Arial"/>
        <family val="2"/>
      </rPr>
      <t xml:space="preserve"> Si vous êtes acheteur et que vous ne pouvez pas répondre à une question du NEGHOSCORE, profitez de votre </t>
    </r>
  </si>
  <si>
    <r>
      <t>2°)</t>
    </r>
    <r>
      <rPr>
        <sz val="10"/>
        <rFont val="Arial"/>
        <family val="2"/>
      </rPr>
      <t xml:space="preserve"> Les normes et standards auxquels nous faisons référence sont celles généralement admises dans la </t>
    </r>
  </si>
  <si>
    <r>
      <t xml:space="preserve">3°) </t>
    </r>
    <r>
      <rPr>
        <sz val="10"/>
        <rFont val="Arial"/>
        <family val="2"/>
      </rPr>
      <t>Nous évaluons toujours à part et en sus la valeur de la licence IV. Nous considérons que celle-ci n'étant pas</t>
    </r>
  </si>
  <si>
    <t>élevée du fonds de commerce. Cependant si le chiffre d'affaires d'une entreprise est révélateur d'un niveau d'activité</t>
  </si>
  <si>
    <t>en mémoire qu'une entreprise se développe et devient prospère ainsi que ses actionnaires grâce à ses bénéfices !</t>
  </si>
  <si>
    <t>L'affaire est exploitée par le même propriétaire depuis combien d'année ?</t>
  </si>
  <si>
    <t xml:space="preserve">NB : </t>
  </si>
  <si>
    <r>
      <t>Méthode 2 : le Neghoscore pur</t>
    </r>
    <r>
      <rPr>
        <sz val="10"/>
        <rFont val="Arial"/>
        <family val="2"/>
      </rPr>
      <t xml:space="preserve"> qui évalue la qualité du management, la qualité de l'outil de travail, les moyens commerciaux et stratégiques, et les caractéristiques économiques </t>
    </r>
    <r>
      <rPr>
        <b/>
        <sz val="10"/>
        <color indexed="49"/>
        <rFont val="Arial"/>
        <family val="2"/>
      </rPr>
      <t>(feuilles 8 à 30).</t>
    </r>
  </si>
  <si>
    <t>MÉTHODE 1 : Clientèle et Rentabilité
étape 2 sur 5 - Application d’un coefficient multiplicateur sur le CA TTC</t>
  </si>
  <si>
    <t>Cette méthode empirique évalue la valeur d’une affaire en multipliant le CA TTC moyen sur trois années par un coefficient allant de 1 à 3. Cette méthode produit généralement l’évaluation la plus élevée et ne peut être l’unique moyen de valorisation d’une affaire. Elle sera au final intégrée au résultat des autres méthodes d’évaluation pour parvenir à une valorisation moyenne.
Ici pour l’évaluation nous avons retenu un coefficient moyen de 2.2.</t>
  </si>
  <si>
    <r>
      <t xml:space="preserve">Il s’agit ici de calculer </t>
    </r>
    <r>
      <rPr>
        <b/>
        <sz val="12"/>
        <color indexed="10"/>
        <rFont val="Arial"/>
        <family val="2"/>
      </rPr>
      <t>le ratio frais de personnel (salaires+charges) / CA HT</t>
    </r>
    <r>
      <rPr>
        <b/>
        <sz val="12"/>
        <rFont val="Arial"/>
        <family val="2"/>
      </rPr>
      <t xml:space="preserve">  et de le comparer aux normes professionnelles.</t>
    </r>
  </si>
  <si>
    <r>
      <t xml:space="preserve">Il s'agit ici de calculer </t>
    </r>
    <r>
      <rPr>
        <b/>
        <sz val="12"/>
        <color indexed="10"/>
        <rFont val="Arial"/>
        <family val="2"/>
      </rPr>
      <t>le</t>
    </r>
    <r>
      <rPr>
        <b/>
        <sz val="12"/>
        <rFont val="Arial"/>
        <family val="2"/>
      </rPr>
      <t xml:space="preserve"> </t>
    </r>
    <r>
      <rPr>
        <b/>
        <sz val="12"/>
        <color indexed="10"/>
        <rFont val="Arial"/>
        <family val="2"/>
      </rPr>
      <t>CA HT réalisé par employé</t>
    </r>
    <r>
      <rPr>
        <b/>
        <sz val="12"/>
        <rFont val="Arial"/>
        <family val="2"/>
      </rPr>
      <t xml:space="preserve"> et de le comparer à la norme professionnelle.</t>
    </r>
  </si>
  <si>
    <t>Nous estimons que si votre ratio est inférieur à 30%, cela est un moins, car il signifie que l'acheteur devra réinvestir dans du matériel.</t>
  </si>
  <si>
    <t xml:space="preserve">1° L'efficacité du management concerne à la fois la gestion du personnel, sa qualification, sa productivité… et certaines caractéristiques concernant </t>
  </si>
  <si>
    <t xml:space="preserve">    le propriétaire exploitant.</t>
  </si>
  <si>
    <t xml:space="preserve">    la valeur d'une affaire. </t>
  </si>
  <si>
    <t>votre score est de</t>
  </si>
  <si>
    <t>soit</t>
  </si>
  <si>
    <t>sur</t>
  </si>
  <si>
    <t>et pour un hôtel 3* =</t>
  </si>
  <si>
    <t>&gt; à 5% à 29,78%</t>
  </si>
  <si>
    <t>&gt; de 10% à 29,78%</t>
  </si>
  <si>
    <t>Source OSEO 2003 étude hôtellerie indépendante : pour un hôtel 2* =</t>
  </si>
  <si>
    <t>points au plus</t>
  </si>
  <si>
    <t>Cliquez ici pour poursuivre</t>
  </si>
  <si>
    <t>AIDE AU REMPLISSAGE :</t>
  </si>
  <si>
    <t xml:space="preserve">Votre score est de </t>
  </si>
  <si>
    <r>
      <t xml:space="preserve">Quelle est </t>
    </r>
    <r>
      <rPr>
        <b/>
        <sz val="12"/>
        <color indexed="10"/>
        <rFont val="Arial"/>
        <family val="2"/>
      </rPr>
      <t xml:space="preserve">l'ancienneté de votre personnel </t>
    </r>
    <r>
      <rPr>
        <b/>
        <u val="single"/>
        <sz val="12"/>
        <color indexed="10"/>
        <rFont val="Arial"/>
        <family val="2"/>
      </rPr>
      <t>dans le métier</t>
    </r>
    <r>
      <rPr>
        <b/>
        <sz val="12"/>
        <color indexed="10"/>
        <rFont val="Arial"/>
        <family val="2"/>
      </rPr>
      <t xml:space="preserve"> ?
</t>
    </r>
    <r>
      <rPr>
        <sz val="10"/>
        <rFont val="Arial"/>
        <family val="2"/>
      </rPr>
      <t>Nous considérons que plus les employés ont de l'ancienneté dans le métier qu'ils occupent plus ils sont performants car 
dans le cas contraire, vous vous en seriez séparé (attention, il s'agit de l'ancienneté dans le métier et non dans l'établissement).</t>
    </r>
  </si>
  <si>
    <r>
      <t xml:space="preserve">Quelle est </t>
    </r>
    <r>
      <rPr>
        <b/>
        <sz val="12"/>
        <color indexed="10"/>
        <rFont val="Arial"/>
        <family val="2"/>
      </rPr>
      <t xml:space="preserve">l'ancienneté de votre personnel </t>
    </r>
    <r>
      <rPr>
        <b/>
        <u val="single"/>
        <sz val="12"/>
        <color indexed="10"/>
        <rFont val="Arial"/>
        <family val="2"/>
      </rPr>
      <t>dans l'établissement</t>
    </r>
    <r>
      <rPr>
        <b/>
        <sz val="12"/>
        <color indexed="10"/>
        <rFont val="Arial"/>
        <family val="2"/>
      </rPr>
      <t xml:space="preserve"> ?
</t>
    </r>
    <r>
      <rPr>
        <sz val="10"/>
        <rFont val="Arial"/>
        <family val="2"/>
      </rPr>
      <t>Nous considérons que lorsque les employés ont de l'ancienneté dans l'établissement, c'est un plus pour le repreneur en raison de leurs connaissances des clients et de l'exploitation.</t>
    </r>
  </si>
  <si>
    <t xml:space="preserve">Votre ratio est de </t>
  </si>
  <si>
    <t>Références des lignes
de la liasse fiscale
de votre dernier bilan</t>
  </si>
  <si>
    <r>
      <t>AIDE AU REMPLISSAGE :</t>
    </r>
    <r>
      <rPr>
        <b/>
        <sz val="12"/>
        <rFont val="Arial"/>
        <family val="2"/>
      </rPr>
      <t xml:space="preserve">
Remplissez les cases en jaune avec vos données.
Le Tableur renseignera automatiquement les autres cases.</t>
    </r>
  </si>
  <si>
    <r>
      <t>Il s'agit ici d'estimer la</t>
    </r>
    <r>
      <rPr>
        <b/>
        <sz val="12"/>
        <color indexed="10"/>
        <rFont val="Arial"/>
        <family val="2"/>
      </rPr>
      <t xml:space="preserve"> vétusté de vos immobilisations.</t>
    </r>
  </si>
  <si>
    <t>MÉTHODE 1 : Clientèle et Rentabilité
étape 3 sur 5 - "Rentabilité économique"</t>
  </si>
  <si>
    <t>MÉTHODE 1 : Clientèle et Rentabilité
étape 5 sur 5 - Résultat</t>
  </si>
  <si>
    <t>Méthode "rentabilité économique"</t>
  </si>
  <si>
    <t>Méthode "capacité d'emprunt"</t>
  </si>
  <si>
    <t>Le résultat de votre opération nombre d'employés / nombre de chambres est :</t>
  </si>
  <si>
    <r>
      <t xml:space="preserve">AIDE AU REMPLISSAGE :
</t>
    </r>
    <r>
      <rPr>
        <b/>
        <sz val="12"/>
        <color indexed="10"/>
        <rFont val="Arial"/>
        <family val="2"/>
      </rPr>
      <t>Remplissez les 4 cases en jaune avec le nombre de salariés concernés.</t>
    </r>
    <r>
      <rPr>
        <b/>
        <sz val="12"/>
        <rFont val="Arial"/>
        <family val="2"/>
      </rPr>
      <t xml:space="preserve">
</t>
    </r>
    <r>
      <rPr>
        <sz val="12"/>
        <rFont val="Arial"/>
        <family val="2"/>
      </rPr>
      <t>Le Tableur renseignera automatiquement les autres cases.</t>
    </r>
  </si>
  <si>
    <r>
      <t>AIDE AU REMPLISSAGE :</t>
    </r>
    <r>
      <rPr>
        <b/>
        <sz val="10"/>
        <color indexed="49"/>
        <rFont val="Arial"/>
        <family val="2"/>
      </rPr>
      <t xml:space="preserve">
</t>
    </r>
    <r>
      <rPr>
        <b/>
        <sz val="12"/>
        <color indexed="10"/>
        <rFont val="Arial"/>
        <family val="2"/>
      </rPr>
      <t>Remplissez les cases en jaune ci-dessous avec vos données.</t>
    </r>
    <r>
      <rPr>
        <b/>
        <sz val="12"/>
        <rFont val="Arial"/>
        <family val="2"/>
      </rPr>
      <t xml:space="preserve">
</t>
    </r>
    <r>
      <rPr>
        <sz val="12"/>
        <rFont val="Arial"/>
        <family val="2"/>
      </rPr>
      <t>Le Tableur renseignera automatiquement les autres cases.</t>
    </r>
  </si>
  <si>
    <t>Votre nombre moyen d'employé (liasse fiscale)</t>
  </si>
  <si>
    <t>Votre score pour le "niveau de qualification du personnel" est de</t>
  </si>
  <si>
    <t>Votre score pour l'ancienneté du personnel
dans le métier est de</t>
  </si>
  <si>
    <t>Votre score
pour l'ancienneté moyenne du personnel
dans l'établisseement est de</t>
  </si>
  <si>
    <t>Votre score pour l'ancienneté du propriétaire est de</t>
  </si>
  <si>
    <r>
      <t xml:space="preserve">AIDE AU REMPLISSAGE :
</t>
    </r>
    <r>
      <rPr>
        <b/>
        <sz val="12"/>
        <color indexed="10"/>
        <rFont val="Arial"/>
        <family val="2"/>
      </rPr>
      <t>Remplissez la case en jaune avec un nombre de mois cumulé.</t>
    </r>
    <r>
      <rPr>
        <b/>
        <sz val="12"/>
        <rFont val="Arial"/>
        <family val="2"/>
      </rPr>
      <t xml:space="preserve">
</t>
    </r>
    <r>
      <rPr>
        <sz val="12"/>
        <rFont val="Arial"/>
        <family val="2"/>
      </rPr>
      <t>Le Tableur renseignera automatiquement les autres cases.</t>
    </r>
  </si>
  <si>
    <r>
      <t xml:space="preserve">AIDE AU REMPLISSAGE :
</t>
    </r>
    <r>
      <rPr>
        <b/>
        <sz val="12"/>
        <color indexed="10"/>
        <rFont val="Arial"/>
        <family val="2"/>
      </rPr>
      <t>Remplissez la case en jaune avec un nombre d'année.</t>
    </r>
    <r>
      <rPr>
        <b/>
        <sz val="12"/>
        <rFont val="Arial"/>
        <family val="2"/>
      </rPr>
      <t xml:space="preserve">
</t>
    </r>
    <r>
      <rPr>
        <sz val="12"/>
        <rFont val="Arial"/>
        <family val="2"/>
      </rPr>
      <t>Le Tableur renseignera automatiquement les autres cases.</t>
    </r>
  </si>
  <si>
    <r>
      <t xml:space="preserve">AIDE AU REMPLISSAGE :
</t>
    </r>
    <r>
      <rPr>
        <b/>
        <sz val="12"/>
        <color indexed="10"/>
        <rFont val="Arial"/>
        <family val="2"/>
      </rPr>
      <t>Remplissez la case en jaune avec un nombre de mois accomplis.</t>
    </r>
    <r>
      <rPr>
        <b/>
        <sz val="12"/>
        <rFont val="Arial"/>
        <family val="2"/>
      </rPr>
      <t xml:space="preserve">
</t>
    </r>
    <r>
      <rPr>
        <sz val="12"/>
        <rFont val="Arial"/>
        <family val="2"/>
      </rPr>
      <t>Le Tableur renseignera automatiquement les autres cases.</t>
    </r>
  </si>
  <si>
    <r>
      <t>Remplissez les 3 cases en jaune avec vos données.</t>
    </r>
    <r>
      <rPr>
        <b/>
        <sz val="12"/>
        <rFont val="Arial"/>
        <family val="2"/>
      </rPr>
      <t xml:space="preserve">
</t>
    </r>
    <r>
      <rPr>
        <sz val="12"/>
        <rFont val="Arial"/>
        <family val="2"/>
      </rPr>
      <t>Le Tableur renseignera automatiquement les autres cases.</t>
    </r>
  </si>
  <si>
    <t>et reportez le chiffre correspondant dans la case en jaune ci-dessous.</t>
  </si>
  <si>
    <t>NB : le tableur renseigne automatiquement ces cases d'après les données que vous avez rentrées dans les feuilles précédentes.</t>
  </si>
  <si>
    <r>
      <t xml:space="preserve">AIDE AU REMPLISSAGE :
</t>
    </r>
    <r>
      <rPr>
        <b/>
        <sz val="12"/>
        <color indexed="10"/>
        <rFont val="Arial"/>
        <family val="2"/>
      </rPr>
      <t>Munissez-vous de la liasse fiscale de votre dernier bilan</t>
    </r>
    <r>
      <rPr>
        <b/>
        <sz val="12"/>
        <color indexed="49"/>
        <rFont val="Arial"/>
        <family val="2"/>
      </rPr>
      <t xml:space="preserve">
</t>
    </r>
    <r>
      <rPr>
        <b/>
        <sz val="12"/>
        <rFont val="Arial"/>
        <family val="2"/>
      </rPr>
      <t xml:space="preserve">et reportez vos chiffres dans les cases en jaune.
</t>
    </r>
    <r>
      <rPr>
        <sz val="12"/>
        <rFont val="Arial"/>
        <family val="2"/>
      </rPr>
      <t>Le Tableur renseignera automatiquement les autres cases.</t>
    </r>
  </si>
  <si>
    <t xml:space="preserve">Votre score pour l'environnement commercial / emplacement
est de </t>
  </si>
  <si>
    <t>Rapport EBE/CA HT</t>
  </si>
  <si>
    <r>
      <t xml:space="preserve">Il s'agit ici d'apprécier </t>
    </r>
    <r>
      <rPr>
        <b/>
        <sz val="12"/>
        <color indexed="10"/>
        <rFont val="Arial"/>
        <family val="2"/>
      </rPr>
      <t>l'évolution de l'EBE sur les 3 dernières années.</t>
    </r>
  </si>
  <si>
    <t>A l'inverse, si votre ratio est supérieur à 50%, c'est un plus car il signifie que l’entreprise possède un outil de travail en parfait état de fonctionnement.</t>
  </si>
  <si>
    <r>
      <t xml:space="preserve">Il s'agit ici de préciser si l'établissement en l'état pourrait </t>
    </r>
    <r>
      <rPr>
        <b/>
        <sz val="12"/>
        <color indexed="10"/>
        <rFont val="Arial"/>
        <family val="2"/>
      </rPr>
      <t xml:space="preserve">accueillir un type de clientèle que vous n'avez pas encore
démarché, </t>
    </r>
    <r>
      <rPr>
        <b/>
        <sz val="12"/>
        <rFont val="Arial"/>
        <family val="2"/>
      </rPr>
      <t>par exemple : groupes, banquets, séminaires...</t>
    </r>
  </si>
  <si>
    <t>En résumé, voici les points faibles et les points forts de votre affaire selon le Néghoscore.</t>
  </si>
  <si>
    <t>LA VALEUR DE VOTRE HÔTEL SELON NEGHOTEL</t>
  </si>
  <si>
    <t>Tableau 1</t>
  </si>
  <si>
    <t>EVALUATION par la Clientèle et la Rentabilité</t>
  </si>
  <si>
    <t>Tableau 2</t>
  </si>
  <si>
    <t>Tableau 3</t>
  </si>
  <si>
    <t>Pour mémoire, voici la synthèse des évaluations précédentes :</t>
  </si>
  <si>
    <r>
      <t>(nb)</t>
    </r>
    <r>
      <rPr>
        <sz val="10"/>
        <rFont val="Arial"/>
        <family val="2"/>
      </rPr>
      <t xml:space="preserve"> pour réaliser la valorisation par le NEGHOSCORE il faut pondérer les résultats obtenus pour chaque rubrique pour donner plus de poids à la qualité de l'outil de travail et aux moyens commerciaux et marketing, le coefficient pondéré  restitue ce calcul.</t>
    </r>
  </si>
  <si>
    <t>Le coefficient Neghotel est le produit du coefficient pondéré par le multiplicateur 3 qui est le plus fort multiplicateur appliqué généralement sur le chiffre d'affaires pour évaluer un fonds de commerce.</t>
  </si>
  <si>
    <t>Cela nous permet enfin de calculer la valorisation du NEGHOSCORE en appliquant le coefficient NEGHOTEL au chiffre d'affaires pondéré utilisé dans la méthode 1.</t>
  </si>
  <si>
    <t>NB : les informations en gras dans les tableaux ci-dessus comptent double car se sont des éléments importants de l'évaluation.</t>
  </si>
  <si>
    <r>
      <t xml:space="preserve">C - </t>
    </r>
    <r>
      <rPr>
        <b/>
        <sz val="10"/>
        <rFont val="Arial"/>
        <family val="2"/>
      </rPr>
      <t xml:space="preserve">Lignes 'Autres' :
</t>
    </r>
    <r>
      <rPr>
        <sz val="10"/>
        <rFont val="Arial"/>
        <family val="2"/>
      </rPr>
      <t>il s'agit de tout ce qui peut être affecté sur un bilan -
ex : la participation des salariés aux résultats - intéressement, voir la ligne HJ dans la liasse fiscale HJ.</t>
    </r>
  </si>
  <si>
    <t>MÉTHODE 2 : NEGHOSCORE : Valeur - Points forts et points faibles</t>
  </si>
  <si>
    <t>est de :</t>
  </si>
  <si>
    <t>Votre score concernant l'évolution de votre CA
sur les 3 dernières années est de</t>
  </si>
  <si>
    <t>b15</t>
  </si>
  <si>
    <t>f15</t>
  </si>
  <si>
    <t>j15</t>
  </si>
  <si>
    <t>n15</t>
  </si>
  <si>
    <r>
      <t xml:space="preserve">Pour connaître votre Revpar, </t>
    </r>
    <r>
      <rPr>
        <b/>
        <sz val="12"/>
        <rFont val="Arial"/>
        <family val="2"/>
      </rPr>
      <t>remplissez les cases en jaune avec vos données.</t>
    </r>
  </si>
  <si>
    <t>Votre TO (Taux d'Occupation)</t>
  </si>
  <si>
    <r>
      <t xml:space="preserve">AIDE AU REMPLISSAGE :
</t>
    </r>
    <r>
      <rPr>
        <b/>
        <sz val="12"/>
        <color indexed="10"/>
        <rFont val="Arial"/>
        <family val="2"/>
      </rPr>
      <t>Renseignez votre type d'hôtel dans la case en jaune.</t>
    </r>
  </si>
  <si>
    <t>Le Tableur renseignera automatiquement les autres cases.</t>
  </si>
  <si>
    <t xml:space="preserve">égal à </t>
  </si>
  <si>
    <t>L'Hôtel 2* :</t>
  </si>
  <si>
    <t>inférieur à</t>
  </si>
  <si>
    <t>C 18 - 20 - 22 - 24 - 26 - 28</t>
  </si>
  <si>
    <t>E18 -20 -22 -24 -26 -28</t>
  </si>
  <si>
    <t>égal à</t>
  </si>
  <si>
    <t>C 32 - 34 - 36 - 38 - 40 - 42</t>
  </si>
  <si>
    <t>E32 -34 -36 -38 -40 -42</t>
  </si>
  <si>
    <t>F19</t>
  </si>
  <si>
    <t>F21</t>
  </si>
  <si>
    <t>F23</t>
  </si>
  <si>
    <t>F25</t>
  </si>
  <si>
    <t>F27</t>
  </si>
  <si>
    <t>F29</t>
  </si>
  <si>
    <t>F33</t>
  </si>
  <si>
    <t>F35</t>
  </si>
  <si>
    <t>F37</t>
  </si>
  <si>
    <t>F39</t>
  </si>
  <si>
    <t>F41</t>
  </si>
  <si>
    <t>F43</t>
  </si>
  <si>
    <t>L'Hôtel 3*</t>
  </si>
  <si>
    <t>Votre nombre moyen d'employés (liasse fiscale)</t>
  </si>
  <si>
    <r>
      <t>-</t>
    </r>
    <r>
      <rPr>
        <sz val="10"/>
        <rFont val="Arial"/>
        <family val="2"/>
      </rPr>
      <t xml:space="preserve"> Si vos éléments loyer + charges représentent plus de 12% du CA HT, entrez 1 ;
</t>
    </r>
    <r>
      <rPr>
        <b/>
        <sz val="10"/>
        <color indexed="10"/>
        <rFont val="Arial"/>
        <family val="2"/>
      </rPr>
      <t xml:space="preserve">- </t>
    </r>
    <r>
      <rPr>
        <sz val="10"/>
        <rFont val="Arial"/>
        <family val="2"/>
      </rPr>
      <t xml:space="preserve">entre 11 et 12%, entrez 2,
</t>
    </r>
    <r>
      <rPr>
        <b/>
        <sz val="10"/>
        <color indexed="10"/>
        <rFont val="Arial"/>
        <family val="2"/>
      </rPr>
      <t>-</t>
    </r>
    <r>
      <rPr>
        <sz val="10"/>
        <rFont val="Arial"/>
        <family val="2"/>
      </rPr>
      <t xml:space="preserve"> entre 10 et 10,99%, entrez 3,
</t>
    </r>
    <r>
      <rPr>
        <b/>
        <sz val="10"/>
        <color indexed="10"/>
        <rFont val="Arial"/>
        <family val="2"/>
      </rPr>
      <t>-</t>
    </r>
    <r>
      <rPr>
        <sz val="10"/>
        <rFont val="Arial"/>
        <family val="2"/>
      </rPr>
      <t xml:space="preserve"> moins de 10% du CA HT, entrez 4.</t>
    </r>
  </si>
  <si>
    <t>- Page 2 -</t>
  </si>
  <si>
    <t>- Page 3 -</t>
  </si>
  <si>
    <t>- Page 4 -</t>
  </si>
  <si>
    <t>- Page 5 -</t>
  </si>
  <si>
    <t>- Page 6 -</t>
  </si>
  <si>
    <t>- Page 7 -</t>
  </si>
  <si>
    <t>- Page 8 -</t>
  </si>
  <si>
    <t>- Page 9 -</t>
  </si>
  <si>
    <t>- Page 10 -</t>
  </si>
  <si>
    <t>- Page 11 -</t>
  </si>
  <si>
    <t>- Page 12 -</t>
  </si>
  <si>
    <t>- Page 13 -</t>
  </si>
  <si>
    <t>- Page 14 -</t>
  </si>
  <si>
    <t>- Page 15 -</t>
  </si>
  <si>
    <t>- Page 16 -</t>
  </si>
  <si>
    <t>- Page 17 -</t>
  </si>
  <si>
    <t>- Page 18 -</t>
  </si>
  <si>
    <t>- Page 19 -</t>
  </si>
  <si>
    <t>- Page 20 -</t>
  </si>
  <si>
    <t>- Page 21 -</t>
  </si>
  <si>
    <t>- Page 22 -</t>
  </si>
  <si>
    <t>- Page 23 -</t>
  </si>
  <si>
    <t>- Page 24 -</t>
  </si>
  <si>
    <t>- Page 25 -</t>
  </si>
  <si>
    <t>- Page 26 -</t>
  </si>
  <si>
    <t>- Page 27 -</t>
  </si>
  <si>
    <t>- Page 28 -</t>
  </si>
  <si>
    <t>- Page 29 -</t>
  </si>
  <si>
    <t>- Page 30 -</t>
  </si>
  <si>
    <t>Page 31 : RÉSULTAT</t>
  </si>
  <si>
    <r>
      <t xml:space="preserve">Ici, il s'agit d'apprécier </t>
    </r>
    <r>
      <rPr>
        <b/>
        <sz val="12"/>
        <color indexed="10"/>
        <rFont val="Arial"/>
        <family val="2"/>
      </rPr>
      <t>l'évolution du CA HT sur les 3 dernières années.</t>
    </r>
  </si>
  <si>
    <r>
      <t xml:space="preserve">Munissez-vous de vos  bilans et comptes de résultat des trois dernières années.
</t>
    </r>
    <r>
      <rPr>
        <b/>
        <sz val="10"/>
        <rFont val="Arial"/>
        <family val="2"/>
      </rPr>
      <t xml:space="preserve">Attention : </t>
    </r>
    <r>
      <rPr>
        <sz val="10"/>
        <rFont val="Arial"/>
        <family val="2"/>
      </rPr>
      <t>ce tableur ne peut fonctionner que si l'affaire est exploitée depuis au moins 3 ans (trois années de bilan).</t>
    </r>
  </si>
  <si>
    <r>
      <t xml:space="preserve">Plus un bail est neuf, plus il rassure l'acheteur et son banquier et plus c'est positif ;
</t>
    </r>
    <r>
      <rPr>
        <b/>
        <sz val="10"/>
        <color indexed="10"/>
        <rFont val="Arial"/>
        <family val="2"/>
      </rPr>
      <t>-</t>
    </r>
    <r>
      <rPr>
        <sz val="10"/>
        <color indexed="10"/>
        <rFont val="Arial"/>
        <family val="2"/>
      </rPr>
      <t xml:space="preserve"> </t>
    </r>
    <r>
      <rPr>
        <sz val="10"/>
        <rFont val="Arial"/>
        <family val="2"/>
      </rPr>
      <t xml:space="preserve">si la durée du bail restant à courir est &lt; à 12 mois, entez 1,
</t>
    </r>
    <r>
      <rPr>
        <b/>
        <sz val="10"/>
        <color indexed="10"/>
        <rFont val="Arial"/>
        <family val="2"/>
      </rPr>
      <t>-</t>
    </r>
    <r>
      <rPr>
        <sz val="10"/>
        <rFont val="Arial"/>
        <family val="2"/>
      </rPr>
      <t xml:space="preserve"> entre 12 et 36 mois, entrez 2,
</t>
    </r>
    <r>
      <rPr>
        <b/>
        <sz val="10"/>
        <color indexed="10"/>
        <rFont val="Arial"/>
        <family val="2"/>
      </rPr>
      <t>-</t>
    </r>
    <r>
      <rPr>
        <b/>
        <sz val="10"/>
        <rFont val="Arial"/>
        <family val="2"/>
      </rPr>
      <t xml:space="preserve"> </t>
    </r>
    <r>
      <rPr>
        <sz val="10"/>
        <rFont val="Arial"/>
        <family val="2"/>
      </rPr>
      <t xml:space="preserve">entre 37 et 72 mois, entrez 3,
</t>
    </r>
    <r>
      <rPr>
        <b/>
        <sz val="10"/>
        <color indexed="10"/>
        <rFont val="Arial"/>
        <family val="2"/>
      </rPr>
      <t>-</t>
    </r>
    <r>
      <rPr>
        <sz val="10"/>
        <rFont val="Arial"/>
        <family val="2"/>
      </rPr>
      <t xml:space="preserve"> entre 73 et 108 mois, entrez 4.</t>
    </r>
  </si>
  <si>
    <r>
      <t xml:space="preserve">Ici, on calcule </t>
    </r>
    <r>
      <rPr>
        <b/>
        <sz val="12"/>
        <color indexed="10"/>
        <rFont val="Arial"/>
        <family val="2"/>
      </rPr>
      <t>le CA annuel réalisé par chambres disponibles</t>
    </r>
    <r>
      <rPr>
        <b/>
        <sz val="12"/>
        <rFont val="Arial"/>
        <family val="2"/>
      </rPr>
      <t xml:space="preserve"> et on le compare à la norme professionnelle.</t>
    </r>
  </si>
  <si>
    <r>
      <t xml:space="preserve">Il s'agit ici de comparer le </t>
    </r>
    <r>
      <rPr>
        <b/>
        <sz val="12"/>
        <color indexed="10"/>
        <rFont val="Arial"/>
        <family val="2"/>
      </rPr>
      <t xml:space="preserve">ratio EBE (excédent brut d'exploitation) sur CA HT </t>
    </r>
    <r>
      <rPr>
        <b/>
        <sz val="12"/>
        <rFont val="Arial"/>
        <family val="2"/>
      </rPr>
      <t>à la norme professionnelle.</t>
    </r>
  </si>
  <si>
    <t>Votre CA HT pondéré</t>
  </si>
  <si>
    <r>
      <t>-</t>
    </r>
    <r>
      <rPr>
        <sz val="10"/>
        <rFont val="Arial"/>
        <family val="2"/>
      </rPr>
      <t xml:space="preserve"> si votre hôtel est près du </t>
    </r>
    <r>
      <rPr>
        <b/>
        <sz val="10"/>
        <rFont val="Arial"/>
        <family val="2"/>
      </rPr>
      <t>LITTORAL =&gt; entrez 1,</t>
    </r>
    <r>
      <rPr>
        <sz val="10"/>
        <rFont val="Arial"/>
        <family val="2"/>
      </rPr>
      <t xml:space="preserve">
</t>
    </r>
    <r>
      <rPr>
        <b/>
        <sz val="10"/>
        <color indexed="10"/>
        <rFont val="Arial"/>
        <family val="2"/>
      </rPr>
      <t>-</t>
    </r>
    <r>
      <rPr>
        <sz val="10"/>
        <rFont val="Arial"/>
        <family val="2"/>
      </rPr>
      <t xml:space="preserve"> si votre hôtel est à la </t>
    </r>
    <r>
      <rPr>
        <b/>
        <sz val="10"/>
        <rFont val="Arial"/>
        <family val="2"/>
      </rPr>
      <t>MONTAGNE =&gt; entrez 2,</t>
    </r>
    <r>
      <rPr>
        <sz val="10"/>
        <rFont val="Arial"/>
        <family val="2"/>
      </rPr>
      <t xml:space="preserve">
</t>
    </r>
    <r>
      <rPr>
        <b/>
        <sz val="10"/>
        <color indexed="10"/>
        <rFont val="Arial"/>
        <family val="2"/>
      </rPr>
      <t>-</t>
    </r>
    <r>
      <rPr>
        <sz val="10"/>
        <rFont val="Arial"/>
        <family val="2"/>
      </rPr>
      <t xml:space="preserve"> si votre hôtel est en zone </t>
    </r>
    <r>
      <rPr>
        <b/>
        <sz val="10"/>
        <rFont val="Arial"/>
        <family val="2"/>
      </rPr>
      <t>RURALE =&gt; entrez 3,</t>
    </r>
    <r>
      <rPr>
        <sz val="10"/>
        <rFont val="Arial"/>
        <family val="2"/>
      </rPr>
      <t xml:space="preserve">
</t>
    </r>
    <r>
      <rPr>
        <b/>
        <sz val="10"/>
        <color indexed="10"/>
        <rFont val="Arial"/>
        <family val="2"/>
      </rPr>
      <t>-</t>
    </r>
    <r>
      <rPr>
        <sz val="10"/>
        <rFont val="Arial"/>
        <family val="2"/>
      </rPr>
      <t xml:space="preserve"> si votre hôtel est un hôtel </t>
    </r>
    <r>
      <rPr>
        <b/>
        <sz val="10"/>
        <rFont val="Arial"/>
        <family val="2"/>
      </rPr>
      <t>THERMAL =&gt; entrez 4,</t>
    </r>
    <r>
      <rPr>
        <sz val="10"/>
        <rFont val="Arial"/>
        <family val="2"/>
      </rPr>
      <t xml:space="preserve">
</t>
    </r>
    <r>
      <rPr>
        <b/>
        <sz val="10"/>
        <color indexed="10"/>
        <rFont val="Arial"/>
        <family val="2"/>
      </rPr>
      <t>-</t>
    </r>
    <r>
      <rPr>
        <sz val="10"/>
        <rFont val="Arial"/>
        <family val="2"/>
      </rPr>
      <t xml:space="preserve"> si votre hôtel est près d'un </t>
    </r>
    <r>
      <rPr>
        <b/>
        <sz val="10"/>
        <rFont val="Arial"/>
        <family val="2"/>
      </rPr>
      <t>AXE ROUTIER =&gt; entrez 5,</t>
    </r>
    <r>
      <rPr>
        <sz val="10"/>
        <rFont val="Arial"/>
        <family val="2"/>
      </rPr>
      <t xml:space="preserve">
</t>
    </r>
    <r>
      <rPr>
        <b/>
        <sz val="10"/>
        <color indexed="10"/>
        <rFont val="Arial"/>
        <family val="2"/>
      </rPr>
      <t>-</t>
    </r>
    <r>
      <rPr>
        <sz val="10"/>
        <rFont val="Arial"/>
        <family val="2"/>
      </rPr>
      <t xml:space="preserve"> si votre hôtel est en </t>
    </r>
    <r>
      <rPr>
        <b/>
        <sz val="10"/>
        <rFont val="Arial"/>
        <family val="2"/>
      </rPr>
      <t>CENTRE VILLE =&gt; entrez 6.</t>
    </r>
  </si>
  <si>
    <r>
      <t xml:space="preserve">On considère comme  excessives toutes les charges autres que le loyer et les charges locatives qui sont imputées au locataire par le propriétaire des murs. On peut citer les travaux de mises aux normes, l'entretien de la façade, etc.
</t>
    </r>
    <r>
      <rPr>
        <b/>
        <sz val="10"/>
        <color indexed="10"/>
        <rFont val="Arial"/>
        <family val="2"/>
      </rPr>
      <t>-</t>
    </r>
    <r>
      <rPr>
        <sz val="10"/>
        <rFont val="Arial"/>
        <family val="2"/>
      </rPr>
      <t xml:space="preserve"> s'il en en a, entrez 1,
</t>
    </r>
    <r>
      <rPr>
        <b/>
        <sz val="10"/>
        <color indexed="10"/>
        <rFont val="Arial"/>
        <family val="2"/>
      </rPr>
      <t>-</t>
    </r>
    <r>
      <rPr>
        <sz val="10"/>
        <rFont val="Arial"/>
        <family val="2"/>
      </rPr>
      <t xml:space="preserve"> si non, entrez 4.</t>
    </r>
  </si>
  <si>
    <t>© Copyright 2009 L'Hôtellerie Restauration - Tous droits réservés - REPRODUCTION INTERDITE</t>
  </si>
  <si>
    <r>
      <t xml:space="preserve">Le bail doit expressément mentionner  que ces travaux sont effectivement à la charge du locataire. Si vous avez un doute consultez un avocat spécialisé qui vous précisera vos obligations. 
</t>
    </r>
    <r>
      <rPr>
        <b/>
        <sz val="10"/>
        <color indexed="10"/>
        <rFont val="Arial"/>
        <family val="2"/>
      </rPr>
      <t>-</t>
    </r>
    <r>
      <rPr>
        <sz val="10"/>
        <rFont val="Arial"/>
        <family val="2"/>
      </rPr>
      <t xml:space="preserve"> si les travaux sont à la charge du locataire, notez 1 ;
</t>
    </r>
    <r>
      <rPr>
        <b/>
        <sz val="10"/>
        <color indexed="10"/>
        <rFont val="Arial"/>
        <family val="2"/>
      </rPr>
      <t>-</t>
    </r>
    <r>
      <rPr>
        <sz val="10"/>
        <rFont val="Arial"/>
        <family val="2"/>
      </rPr>
      <t xml:space="preserve"> s'ils sont à la charge du bailleur, notez 4.</t>
    </r>
  </si>
  <si>
    <r>
      <t xml:space="preserve">L'existence d'un logement de fonction est souvent un élément déterminant dans la décision finale d'un acheteur. C'est donc un plus.
</t>
    </r>
    <r>
      <rPr>
        <b/>
        <sz val="10"/>
        <color indexed="10"/>
        <rFont val="Arial"/>
        <family val="2"/>
      </rPr>
      <t>-</t>
    </r>
    <r>
      <rPr>
        <sz val="10"/>
        <rFont val="Arial"/>
        <family val="2"/>
      </rPr>
      <t xml:space="preserve"> s'il en un logement de fonction, notez 4,
</t>
    </r>
    <r>
      <rPr>
        <b/>
        <sz val="10"/>
        <color indexed="10"/>
        <rFont val="Arial"/>
        <family val="2"/>
      </rPr>
      <t>-</t>
    </r>
    <r>
      <rPr>
        <sz val="10"/>
        <rFont val="Arial"/>
        <family val="2"/>
      </rPr>
      <t xml:space="preserve"> si non, entrez 1. </t>
    </r>
  </si>
  <si>
    <r>
      <t xml:space="preserve">Vous êtes en possession d'un </t>
    </r>
    <r>
      <rPr>
        <b/>
        <sz val="10"/>
        <rFont val="Arial"/>
        <family val="2"/>
      </rPr>
      <t>avis favorable de la commission de sécurité</t>
    </r>
    <r>
      <rPr>
        <sz val="10"/>
        <rFont val="Arial"/>
        <family val="2"/>
      </rPr>
      <t xml:space="preserve"> =&gt; entrez 4.
</t>
    </r>
    <r>
      <rPr>
        <b/>
        <sz val="10"/>
        <rFont val="Arial"/>
        <family val="2"/>
      </rPr>
      <t>Si l'avis a été défavorable</t>
    </r>
    <r>
      <rPr>
        <sz val="10"/>
        <rFont val="Arial"/>
        <family val="2"/>
      </rPr>
      <t xml:space="preserve"> ou si vous n'avez jamais été contrôlé par </t>
    </r>
    <r>
      <rPr>
        <b/>
        <sz val="10"/>
        <rFont val="Arial"/>
        <family val="2"/>
      </rPr>
      <t>la commission de sécurité</t>
    </r>
    <r>
      <rPr>
        <sz val="10"/>
        <rFont val="Arial"/>
        <family val="2"/>
      </rPr>
      <t xml:space="preserve"> =&gt; entrez 1.
Dans ce dernier cas, demandez son passage dans les meilleurs délais.</t>
    </r>
  </si>
  <si>
    <r>
      <t>Le matériel est suffisant</t>
    </r>
    <r>
      <rPr>
        <sz val="10"/>
        <rFont val="Arial"/>
        <family val="2"/>
      </rPr>
      <t xml:space="preserve"> =&gt; entrez 4, s'il est </t>
    </r>
    <r>
      <rPr>
        <b/>
        <sz val="10"/>
        <rFont val="Arial"/>
        <family val="2"/>
      </rPr>
      <t>insuffisant</t>
    </r>
    <r>
      <rPr>
        <sz val="10"/>
        <rFont val="Arial"/>
        <family val="2"/>
      </rPr>
      <t xml:space="preserve"> =&gt; entrez 1.
NB. :</t>
    </r>
    <r>
      <rPr>
        <sz val="10"/>
        <rFont val="Arial"/>
        <family val="2"/>
      </rPr>
      <t xml:space="preserve"> le matériel est suf</t>
    </r>
    <r>
      <rPr>
        <sz val="10"/>
        <rFont val="Arial"/>
        <family val="2"/>
      </rPr>
      <t>fisant quand il permet au moins une mise en place pour un service complet. Ici, nous prenons au sens large et comprenons tous les matériels afférents à l'activité hôtel : petit déjeuner, etc. Le vendeur est avantagé par rapport à l'acheteur sur cette question. Il sait s'il a ou non assez de matériel. Par contre l'acheteur sera vigilant sur cette question notamment dans le rapprochement inventaire / nombre de chambres.</t>
    </r>
  </si>
  <si>
    <t>Quel est votre prix moyen vente hébergement</t>
  </si>
  <si>
    <t>Quel est votre taux d'occupation</t>
  </si>
  <si>
    <t xml:space="preserve">Vous êtes un hôtel : </t>
  </si>
  <si>
    <t>0 / 1*</t>
  </si>
  <si>
    <t xml:space="preserve"> =&gt; entrez 1</t>
  </si>
  <si>
    <t>Supérieur à</t>
  </si>
  <si>
    <t xml:space="preserve"> =&gt; entrez 2</t>
  </si>
  <si>
    <t xml:space="preserve"> =&gt; entrez 3</t>
  </si>
  <si>
    <t xml:space="preserve"> =&gt; entrez 4</t>
  </si>
  <si>
    <t>Compris entre</t>
  </si>
  <si>
    <t>et</t>
  </si>
  <si>
    <t xml:space="preserve">Votre revpar est &lt; à </t>
  </si>
  <si>
    <t>sur  4</t>
  </si>
  <si>
    <r>
      <t xml:space="preserve">Si l'établissement n'est référencé dans </t>
    </r>
    <r>
      <rPr>
        <b/>
        <sz val="10"/>
        <rFont val="Arial"/>
        <family val="2"/>
      </rPr>
      <t>aucun guide, entrez 1,</t>
    </r>
    <r>
      <rPr>
        <sz val="10"/>
        <rFont val="Arial"/>
        <family val="2"/>
      </rPr>
      <t xml:space="preserve"> s'il l'est dans </t>
    </r>
    <r>
      <rPr>
        <b/>
        <sz val="10"/>
        <rFont val="Arial"/>
        <family val="2"/>
      </rPr>
      <t>1 guide, entrez 2,</t>
    </r>
    <r>
      <rPr>
        <sz val="10"/>
        <rFont val="Arial"/>
        <family val="2"/>
      </rPr>
      <t xml:space="preserve"> s'il l'est dans </t>
    </r>
    <r>
      <rPr>
        <b/>
        <sz val="10"/>
        <rFont val="Arial"/>
        <family val="2"/>
      </rPr>
      <t>2 guides, entrez 3,</t>
    </r>
    <r>
      <rPr>
        <sz val="10"/>
        <rFont val="Arial"/>
        <family val="2"/>
      </rPr>
      <t xml:space="preserve"> s'il est référencé dans </t>
    </r>
    <r>
      <rPr>
        <b/>
        <sz val="10"/>
        <rFont val="Arial"/>
        <family val="2"/>
      </rPr>
      <t>3 guides ou plus, entrez 4.</t>
    </r>
  </si>
  <si>
    <r>
      <t xml:space="preserve">Si vous adhérez à une </t>
    </r>
    <r>
      <rPr>
        <b/>
        <sz val="10"/>
        <rFont val="Arial"/>
        <family val="2"/>
      </rPr>
      <t>chaîne,</t>
    </r>
    <r>
      <rPr>
        <sz val="10"/>
        <rFont val="Arial"/>
        <family val="2"/>
      </rPr>
      <t xml:space="preserve"> c'est un plus : entrez 4, si non, entrez 1.</t>
    </r>
  </si>
  <si>
    <r>
      <t xml:space="preserve">Si l'établissement est situé en </t>
    </r>
    <r>
      <rPr>
        <b/>
        <sz val="10"/>
        <rFont val="Arial"/>
        <family val="2"/>
      </rPr>
      <t>centre ville, entrez 4, en périphérie urbaine, entrez 3, en zone industrielle, entrez 2, dans une autre zone, entrez 1.</t>
    </r>
  </si>
  <si>
    <r>
      <t xml:space="preserve">Si l'établissement est signalé avec moins de deux </t>
    </r>
    <r>
      <rPr>
        <b/>
        <sz val="10"/>
        <rFont val="Arial"/>
        <family val="2"/>
      </rPr>
      <t>panneaux indicateurs ou pré-enseignes</t>
    </r>
    <r>
      <rPr>
        <sz val="10"/>
        <rFont val="Arial"/>
        <family val="2"/>
      </rPr>
      <t xml:space="preserve"> =&gt; entrez 1,
- trois ou quatre =&gt; entrez 2 ;
- cinq ou six  =&gt; entrez 3 ;
- plus de 6  =&gt; entrez 4. </t>
    </r>
  </si>
  <si>
    <t>Signalisation et Pré-enseignes</t>
  </si>
  <si>
    <t>Evolution zone de chalandise</t>
  </si>
  <si>
    <r>
      <t xml:space="preserve">Si la zone de chalandise </t>
    </r>
    <r>
      <rPr>
        <sz val="10"/>
        <rFont val="Arial"/>
        <family val="2"/>
      </rPr>
      <t>n'est pas favorable  =&gt;</t>
    </r>
    <r>
      <rPr>
        <sz val="10"/>
        <rFont val="Arial"/>
        <family val="2"/>
      </rPr>
      <t xml:space="preserve"> entrez 1, si elle est </t>
    </r>
    <r>
      <rPr>
        <b/>
        <sz val="10"/>
        <rFont val="Arial"/>
        <family val="2"/>
      </rPr>
      <t xml:space="preserve">moyennement favorable  =&gt; entrez 2,
</t>
    </r>
    <r>
      <rPr>
        <sz val="10"/>
        <rFont val="Arial"/>
        <family val="2"/>
      </rPr>
      <t xml:space="preserve">si elle est </t>
    </r>
    <r>
      <rPr>
        <b/>
        <sz val="10"/>
        <rFont val="Arial"/>
        <family val="2"/>
      </rPr>
      <t>favorable =&gt; entrez 3 ;</t>
    </r>
    <r>
      <rPr>
        <sz val="10"/>
        <rFont val="Arial"/>
        <family val="2"/>
      </rPr>
      <t xml:space="preserve"> si elle est </t>
    </r>
    <r>
      <rPr>
        <b/>
        <sz val="10"/>
        <rFont val="Arial"/>
        <family val="2"/>
      </rPr>
      <t>très favorable =&gt; entrez 4.</t>
    </r>
    <r>
      <rPr>
        <sz val="10"/>
        <rFont val="Arial"/>
        <family val="2"/>
      </rPr>
      <t xml:space="preserve">
NB : la zone de chalandise évolue favorablement lorsque de nouveaux gisements de clientèles s'installent ainsi que de nouveaux équipements: entreprises, loisirs, tourisme, Administrations, station de métro de tram, sortie autoroute, rocade, réhabilitation d'un quartier.</t>
    </r>
  </si>
  <si>
    <t>Concurrence sur la zone de chalandise</t>
  </si>
  <si>
    <t>Nous partons du principe que vous êtes concurrent d'abord avec les hôtels de votre catégorie, ensuite avec ceux de la catégorie immédiatement inférieure et enfin ceux de la catégorie immédiatement supérieure.
- pas de concurrent de votre catégorie =&gt; entrez 4 ;
- un concurrent direct (même catégorie) ou deux concurrents de catégories différentes =&gt; 3 ;
- deux concurrents de même catégorie ou plus de deux concurrents de catégories différentes =&gt; entrez 2 ;
- au-delà  =&gt; entrez 1.</t>
  </si>
  <si>
    <t>STRATEGIE MARKETING ET COMMERCIALE</t>
  </si>
  <si>
    <t>Référencement auprès de centrales de réservation</t>
  </si>
  <si>
    <t>Votre score est de</t>
  </si>
  <si>
    <t>du maximum</t>
  </si>
  <si>
    <t xml:space="preserve">Cette méthode est la plus empirique des trois. Elle procède plutôt des usages et coutumes de la profession que </t>
  </si>
  <si>
    <t>d'une démarche technique ou scientifique. Elle continue cependant à être employée car la plupart des guides et</t>
  </si>
  <si>
    <t>manuels traitant de l'évaluation des fonds de commerce font référence à un multiple du Chiffre d'Affaires.</t>
  </si>
  <si>
    <t>IMMOBILISATIONS BRUTES Colonne 1</t>
  </si>
  <si>
    <t>IMMOBILISATIONS NETTES Colonne 3</t>
  </si>
  <si>
    <t>LIGNE AP</t>
  </si>
  <si>
    <t>LIGNE AR</t>
  </si>
  <si>
    <t xml:space="preserve">LIGNE AT </t>
  </si>
  <si>
    <t>LIGNE AV</t>
  </si>
  <si>
    <t>LIGNE AX</t>
  </si>
  <si>
    <r>
      <t xml:space="preserve">AIDE AU REMPLISSAGE :
</t>
    </r>
    <r>
      <rPr>
        <b/>
        <sz val="10"/>
        <rFont val="Arial"/>
        <family val="2"/>
      </rPr>
      <t>Répondez à la question et reportez dans la case en jaune le nombre de point correspondant</t>
    </r>
  </si>
  <si>
    <t>Votre Revpar est de</t>
  </si>
  <si>
    <t>Rappel automatique de la feuille précédente...</t>
  </si>
  <si>
    <t>Source des valeurs de référence : OSEO 2003 étude hôtellerie indépendante.</t>
  </si>
  <si>
    <r>
      <t xml:space="preserve">Exemple : </t>
    </r>
    <r>
      <rPr>
        <sz val="10"/>
        <rFont val="Arial"/>
        <family val="2"/>
      </rPr>
      <t>pour un hôtel 2* dont le TO est inférieur à 53%, entrez le 1.</t>
    </r>
  </si>
  <si>
    <t>CA annuel / Nb de chambre louables</t>
  </si>
  <si>
    <t>Evolution du CA</t>
  </si>
  <si>
    <t>Sur les 3 dernières années,</t>
  </si>
  <si>
    <t xml:space="preserve">si votre CA est </t>
  </si>
  <si>
    <t>Renseignez la case en jaune avec le chiffre</t>
  </si>
  <si>
    <t>Le chiffre à entrer dans la case en jaune est</t>
  </si>
  <si>
    <t>Le tableau sera renseigné avec le chiffre</t>
  </si>
  <si>
    <t xml:space="preserve">Le chiffre à reporter est le  </t>
  </si>
  <si>
    <t>Référence source : OSEO 2003 étude hôtellerie indépendante.</t>
  </si>
  <si>
    <r>
      <t>&lt; de 10 %</t>
    </r>
    <r>
      <rPr>
        <sz val="10"/>
        <rFont val="Arial"/>
        <family val="2"/>
      </rPr>
      <t xml:space="preserve">
est aujourd'hui inférieur de 10% par rapport à il y a 3 ans</t>
    </r>
  </si>
  <si>
    <t>Votre score rapport EBE sur CA HT</t>
  </si>
  <si>
    <t>Reportez le chiffre correspondant dans la case en jaune ci-dessous
(cf. tableau repère ci-dessous)</t>
  </si>
  <si>
    <t>Référence Source CGA Profession 2006.</t>
  </si>
  <si>
    <t>Si le rapport EBE/ CA HT est</t>
  </si>
  <si>
    <r>
      <t>&lt; de 5 %</t>
    </r>
    <r>
      <rPr>
        <sz val="10"/>
        <rFont val="Arial"/>
        <family val="2"/>
      </rPr>
      <t xml:space="preserve">
est aujourd'hui inférieure de 5% par rapport à il y a 3 ans</t>
    </r>
  </si>
  <si>
    <r>
      <t xml:space="preserve">=
</t>
    </r>
    <r>
      <rPr>
        <sz val="10"/>
        <rFont val="Arial"/>
        <family val="2"/>
      </rPr>
      <t>est resté stable par rapport à il y a 3 ans</t>
    </r>
  </si>
  <si>
    <r>
      <t>&gt;</t>
    </r>
    <r>
      <rPr>
        <sz val="10"/>
        <rFont val="Arial"/>
        <family val="2"/>
      </rPr>
      <t xml:space="preserve">
progressé par  rapport à il y a 3 ans</t>
    </r>
  </si>
  <si>
    <t>supérieur à 26,43%, entrez 4</t>
  </si>
  <si>
    <r>
      <t xml:space="preserve">AIDE AU REMPLISSAGE :
</t>
    </r>
    <r>
      <rPr>
        <b/>
        <sz val="12"/>
        <color indexed="10"/>
        <rFont val="Arial"/>
        <family val="2"/>
      </rPr>
      <t>Consultez le bilan de l'entreprise à la page solde intermédiaire de gestion (SIG) et,</t>
    </r>
    <r>
      <rPr>
        <b/>
        <sz val="12"/>
        <color indexed="49"/>
        <rFont val="Arial"/>
        <family val="2"/>
      </rPr>
      <t xml:space="preserve">
</t>
    </r>
    <r>
      <rPr>
        <b/>
        <sz val="12"/>
        <rFont val="Arial"/>
        <family val="2"/>
      </rPr>
      <t>voyez comment l'EBE a évolué sur les 3 dernières années.</t>
    </r>
  </si>
  <si>
    <t xml:space="preserve">si votre EBE est </t>
  </si>
  <si>
    <t>Cliquez ici pour voir le résultat</t>
  </si>
  <si>
    <t>Evolution de votre EBE</t>
  </si>
  <si>
    <t>si la possibilité d'accueillir d'autres clientèle est</t>
  </si>
  <si>
    <t>Faible</t>
  </si>
  <si>
    <t>Moyenne</t>
  </si>
  <si>
    <t>Bonne</t>
  </si>
  <si>
    <t>Très bonne</t>
  </si>
  <si>
    <t>Renseignez la case en jaune ci-dessous avec le chiffre</t>
  </si>
  <si>
    <t>Selon vous :</t>
  </si>
  <si>
    <t>Cliquez ici pour voir le résultat final</t>
  </si>
  <si>
    <t>pour donner plus de poids à la qualité de l'outil de travail et aux moyens commerciaux et marketing.</t>
  </si>
  <si>
    <t>Le coefficient Neghotel est le produit du coefficient pondéré par le multiplicateur 3 qui est le plus fort multiplicateur</t>
  </si>
  <si>
    <t>appliqué généralement sur le chiffre d'affaires pour évaluer un fonds de commerce.</t>
  </si>
  <si>
    <t>Cela nous permet enfin de calculer la valorisation du NEGHOSCORE en appliquant le coefficient NEGHOTEL</t>
  </si>
  <si>
    <t>au chiffre d'affaires pondéré utilisé dans la méthode 1.</t>
  </si>
  <si>
    <t>Au total, avec l'outil Neghoscore :</t>
  </si>
  <si>
    <r>
      <t>(nb)</t>
    </r>
    <r>
      <rPr>
        <b/>
        <sz val="10"/>
        <rFont val="Arial"/>
        <family val="2"/>
      </rPr>
      <t xml:space="preserve"> </t>
    </r>
    <r>
      <rPr>
        <sz val="10"/>
        <rFont val="Arial"/>
        <family val="2"/>
      </rPr>
      <t xml:space="preserve">pour réaliser la valorisation par le NEGHOSCORE il faut pondérer les résultats obtenus pour chaque rubrique  </t>
    </r>
  </si>
  <si>
    <t>x2</t>
  </si>
  <si>
    <t>Efficacité du management
(feuille 15)</t>
  </si>
  <si>
    <t>Qualité outil de travail
(feuille 18)</t>
  </si>
  <si>
    <t>Moyens commerciaux et stratégie marketing (feuille 21)</t>
  </si>
  <si>
    <t>Caractéristiques économiques de l'exploitation (feuille 29)</t>
  </si>
  <si>
    <t xml:space="preserve"> EVALUATION PAR
LE PRODUIT DE LA CLIENTELE</t>
  </si>
  <si>
    <t>EVALUATION PAR
LE NEGHOSCORE</t>
  </si>
  <si>
    <r>
      <t xml:space="preserve">S'il y a un </t>
    </r>
    <r>
      <rPr>
        <b/>
        <sz val="10"/>
        <rFont val="Arial"/>
        <family val="2"/>
      </rPr>
      <t>bar</t>
    </r>
    <r>
      <rPr>
        <sz val="10"/>
        <rFont val="Arial"/>
        <family val="2"/>
      </rPr>
      <t xml:space="preserve"> =&gt; entrez 4, si non =&gt; entrez 1.</t>
    </r>
  </si>
  <si>
    <r>
      <t xml:space="preserve">Si le Plan Local d'Urbanisme autorise des </t>
    </r>
    <r>
      <rPr>
        <b/>
        <sz val="10"/>
        <rFont val="Arial"/>
        <family val="2"/>
      </rPr>
      <t>constructions supplémentaires</t>
    </r>
    <r>
      <rPr>
        <sz val="10"/>
        <rFont val="Arial"/>
        <family val="2"/>
      </rPr>
      <t xml:space="preserve"> =&gt; entrez 4, si non =&gt; entrez 1.
NB : si vous n'êtes pas propriétaire des murs, il faudra ensuite négocier.</t>
    </r>
  </si>
  <si>
    <r>
      <t>Si votre établissement est aux normes de 2011</t>
    </r>
    <r>
      <rPr>
        <sz val="10"/>
        <rFont val="Arial"/>
        <family val="2"/>
      </rPr>
      <t xml:space="preserve"> =&gt; entrez 4, si non =&gt; entrez 1.
La non-conformité est établie par la liste des travaux demandés par la commission de sécurité et par le décret de juillet 2006.</t>
    </r>
  </si>
  <si>
    <t>Cliquez ici pour poursuivre l'estimation et évaluer la stratégie marketing</t>
  </si>
  <si>
    <t>L'évaluation se fait en croisant 2 méthodes, chacune d'elle comportant plusieurs étapes :</t>
  </si>
  <si>
    <t xml:space="preserve">pondération (donner un poids plus important aux années les plus récentes) nécessite de choisir sa période de vente. </t>
  </si>
  <si>
    <t xml:space="preserve">Ce n'est pas quand ça va mal qu'il faut vendre si on veut tirer le meilleur parti de son affaire ou alors en accepter les </t>
  </si>
  <si>
    <t>conséquences dans la négociation.</t>
  </si>
  <si>
    <t xml:space="preserve">Parmi les ratios financiers les plus employés celui de l'excédent brut d'exploitation (EBE) est un repère constant. Le fonds </t>
  </si>
  <si>
    <t xml:space="preserve">de commerce d'une entreprise est souvent évalué à 5 fois le montant de l'Excédent Brut d'Exploitation. On notera que la </t>
  </si>
  <si>
    <t>Hôtel Bureau 2*</t>
  </si>
  <si>
    <t>Hôtel bureau 3*</t>
  </si>
  <si>
    <t xml:space="preserve">2° Certains résultats comptent double dans l'évaluation, car cela fait partie des éléments qui nous semblent doublement importants pour estimer </t>
  </si>
  <si>
    <r>
      <t xml:space="preserve">Le mode de </t>
    </r>
    <r>
      <rPr>
        <b/>
        <sz val="10"/>
        <rFont val="Arial"/>
        <family val="2"/>
      </rPr>
      <t>chauffage</t>
    </r>
    <r>
      <rPr>
        <sz val="10"/>
        <rFont val="Arial"/>
        <family val="2"/>
      </rPr>
      <t xml:space="preserve"> est très révélateur à la fois du confort de l'établissement (clim réversible) mais également des postes </t>
    </r>
    <r>
      <rPr>
        <i/>
        <sz val="10"/>
        <rFont val="Arial"/>
        <family val="2"/>
      </rPr>
      <t>dépenses d'énergie</t>
    </r>
    <r>
      <rPr>
        <sz val="10"/>
        <rFont val="Arial"/>
        <family val="2"/>
      </rPr>
      <t xml:space="preserve"> non maitrisable à ce jour et </t>
    </r>
    <r>
      <rPr>
        <i/>
        <sz val="10"/>
        <rFont val="Arial"/>
        <family val="2"/>
      </rPr>
      <t>entretien</t>
    </r>
    <r>
      <rPr>
        <sz val="10"/>
        <rFont val="Arial"/>
        <family val="2"/>
      </rPr>
      <t xml:space="preserve"> de plus en plus important avec l'usure des chaudières ou des convecteurs.
</t>
    </r>
    <r>
      <rPr>
        <b/>
        <sz val="10"/>
        <color indexed="10"/>
        <rFont val="Arial"/>
        <family val="2"/>
      </rPr>
      <t>-</t>
    </r>
    <r>
      <rPr>
        <sz val="10"/>
        <rFont val="Arial"/>
        <family val="2"/>
      </rPr>
      <t xml:space="preserve"> si le moyen de chauffage est le fuel =&gt; entrez 1 ;
</t>
    </r>
    <r>
      <rPr>
        <b/>
        <sz val="10"/>
        <color indexed="10"/>
        <rFont val="Arial"/>
        <family val="2"/>
      </rPr>
      <t>-</t>
    </r>
    <r>
      <rPr>
        <sz val="10"/>
        <rFont val="Arial"/>
        <family val="2"/>
      </rPr>
      <t xml:space="preserve"> le gaz =&gt; entrez 2 ;
</t>
    </r>
    <r>
      <rPr>
        <b/>
        <sz val="10"/>
        <color indexed="10"/>
        <rFont val="Arial"/>
        <family val="2"/>
      </rPr>
      <t>-</t>
    </r>
    <r>
      <rPr>
        <sz val="10"/>
        <rFont val="Arial"/>
        <family val="2"/>
      </rPr>
      <t xml:space="preserve"> des convecteurs =&gt; entrez 3 ;
</t>
    </r>
    <r>
      <rPr>
        <b/>
        <sz val="10"/>
        <color indexed="10"/>
        <rFont val="Arial"/>
        <family val="2"/>
      </rPr>
      <t>-</t>
    </r>
    <r>
      <rPr>
        <sz val="10"/>
        <rFont val="Arial"/>
        <family val="2"/>
      </rPr>
      <t xml:space="preserve"> une clim réversible =&gt; entrez 4.</t>
    </r>
  </si>
  <si>
    <r>
      <t>Si l'</t>
    </r>
    <r>
      <rPr>
        <b/>
        <sz val="10"/>
        <rFont val="Arial"/>
        <family val="2"/>
      </rPr>
      <t xml:space="preserve">entretien du matériel </t>
    </r>
    <r>
      <rPr>
        <sz val="10"/>
        <rFont val="Arial"/>
        <family val="2"/>
      </rPr>
      <t xml:space="preserve">est faible (plus de 5 appareils en panne ou nécessitant des réparations) =&gt; entrez 1,
moyen (4 à 5 appareils en panne ou nécessitant des réparations) =&gt; entrez 2 ;
bon (2 à 3 appareils en panne ou nécessitant des réparations) =&gt; entrez 3 ;
très bon (1 appareil ou moins en panne ou nécessitant des réparations) =&gt; entrez 4.
NB : en panne ou ne fonctionnant pas correctement ou encore nécessitant une révision au moment de l'évaluation. </t>
    </r>
  </si>
  <si>
    <t>Vétusté des Immobilisations</t>
  </si>
  <si>
    <t>x1</t>
  </si>
  <si>
    <t>pts au + possible</t>
  </si>
  <si>
    <t>points au plus possible</t>
  </si>
  <si>
    <r>
      <t xml:space="preserve">Si vous avez 1 </t>
    </r>
    <r>
      <rPr>
        <b/>
        <sz val="10"/>
        <rFont val="Arial"/>
        <family val="2"/>
      </rPr>
      <t>logiciel de réservation et gestion</t>
    </r>
    <r>
      <rPr>
        <sz val="10"/>
        <rFont val="Arial"/>
        <family val="2"/>
      </rPr>
      <t xml:space="preserve"> =&gt; entrez 4,
si non =&gt; entrez 1.</t>
    </r>
  </si>
  <si>
    <r>
      <t xml:space="preserve">S'il y a une </t>
    </r>
    <r>
      <rPr>
        <b/>
        <sz val="10"/>
        <rFont val="Arial"/>
        <family val="2"/>
      </rPr>
      <t>salle de séminaire</t>
    </r>
    <r>
      <rPr>
        <sz val="10"/>
        <rFont val="Arial"/>
        <family val="2"/>
      </rPr>
      <t xml:space="preserve"> =&gt; entrez 4, si non =&gt; entrez 1.
NB : si vous êtes dans une zone de chalandise affaires (bureau), elles sont indispensables et si vous êtes dans un autre type de zone (touristique, rurale) elles  vous permettent d'accepter des bus, des banquets, etc.</t>
    </r>
  </si>
  <si>
    <t xml:space="preserve">C'est une  façon d'exprimer le dynamisme commercial de l'entreprise, c'est donc un plus. Entrez 1, si ce la fait plus d'1 an, 2 si elle date d'1an, 3, si elle date d'il y a 6 mois-1an, et 4 s'il elle date de moins de 6 mois. </t>
  </si>
  <si>
    <t>Cliquez ici pour faire une autre simulation</t>
  </si>
  <si>
    <t>3 employés à 1 points + 1 employés à 3 points = 6 points divisés par 4 employés = 1.5 arrondi à 2 points pour cette rubrique.</t>
  </si>
  <si>
    <r>
      <t>Exemple :</t>
    </r>
    <r>
      <rPr>
        <sz val="10"/>
        <rFont val="Arial"/>
        <family val="2"/>
      </rPr>
      <t xml:space="preserve"> vous avez 4 employés dont 3 sans qualification et 1 avec un Bac Pro. En vous reportant au tableau ci-dessus,</t>
    </r>
  </si>
  <si>
    <r>
      <t>Exemple :</t>
    </r>
    <r>
      <rPr>
        <sz val="10"/>
        <rFont val="Arial"/>
        <family val="2"/>
      </rPr>
      <t xml:space="preserve"> vous calculez l'ancienneté du personnel en mois de présence pleins accomplis dans l'établissement. Exemple pour 4 employés : </t>
    </r>
  </si>
  <si>
    <t>le premier = 12 mois, le deuxième = 6 mois, le troisième = 38 mois, le quatrième = 14 mois soit au total 70 mois divisés par 4 employés = 17.5 mois.</t>
  </si>
  <si>
    <t>En vous rapportant au tableau ci-dessus, dans ce cas vous compterez 2 points.</t>
  </si>
  <si>
    <r>
      <t>Exemple :</t>
    </r>
    <r>
      <rPr>
        <sz val="10"/>
        <rFont val="Arial"/>
        <family val="2"/>
      </rPr>
      <t xml:space="preserve"> pour 4 employés, le premier = 24 mois, le deuxième = 9 mois, le troisième = 38 mois,  le quatrième = 17 mois </t>
    </r>
  </si>
  <si>
    <r>
      <t xml:space="preserve">C'est le croisement de ces 2 méthodes qui vous donnera la valeur de votre affaire selon Neghotel </t>
    </r>
    <r>
      <rPr>
        <b/>
        <sz val="10"/>
        <color indexed="49"/>
        <rFont val="Arial"/>
        <family val="2"/>
      </rPr>
      <t>(feuille 31).</t>
    </r>
  </si>
  <si>
    <t>Avec la méthode dite hôtelière
votre affaire est valorisée à</t>
  </si>
  <si>
    <t>COEFFICIENT APPLIQUÉ*</t>
  </si>
  <si>
    <t>* pour plus d'information sur cette notion, se référer au blog.</t>
  </si>
  <si>
    <r>
      <t xml:space="preserve">COEFFICIENT MOYEN </t>
    </r>
    <r>
      <rPr>
        <b/>
        <sz val="10"/>
        <rFont val="Arial"/>
        <family val="2"/>
      </rPr>
      <t>(1)</t>
    </r>
  </si>
  <si>
    <t>EBE MOYEN PONDÉRÉ</t>
  </si>
  <si>
    <t>Avec la méthode de la "Rentabilité économique (2)" 
votre affaire est valorisée à</t>
  </si>
  <si>
    <t>(1) Parmi les ratios financiers les plus employés, celui de la rentabilité économique apprécié par rapport à l'EBE est un repère constant.</t>
  </si>
  <si>
    <r>
      <t xml:space="preserve">MÉTHODE 2 : Neghoscore </t>
    </r>
    <r>
      <rPr>
        <b/>
        <sz val="14"/>
        <color indexed="13"/>
        <rFont val="Arial"/>
        <family val="2"/>
      </rPr>
      <t>Evaluation du management</t>
    </r>
    <r>
      <rPr>
        <b/>
        <sz val="14"/>
        <color indexed="9"/>
        <rFont val="Arial"/>
        <family val="2"/>
      </rPr>
      <t xml:space="preserve">
étape 1 sur 8 - Nombre d'employés sur nombre de chambres</t>
    </r>
  </si>
  <si>
    <r>
      <t xml:space="preserve">MÉTHODE 2 : Neghoscore </t>
    </r>
    <r>
      <rPr>
        <b/>
        <sz val="14"/>
        <color indexed="13"/>
        <rFont val="Arial"/>
        <family val="2"/>
      </rPr>
      <t>Evaluation du management</t>
    </r>
    <r>
      <rPr>
        <b/>
        <sz val="14"/>
        <color indexed="9"/>
        <rFont val="Arial"/>
        <family val="2"/>
      </rPr>
      <t xml:space="preserve">
étape 2 sur 8 - Frais de personnel</t>
    </r>
  </si>
  <si>
    <r>
      <t xml:space="preserve">MÉTHODE 2 : Neghoscore </t>
    </r>
    <r>
      <rPr>
        <b/>
        <sz val="14"/>
        <color indexed="13"/>
        <rFont val="Arial"/>
        <family val="2"/>
      </rPr>
      <t>Evaluation du management</t>
    </r>
    <r>
      <rPr>
        <b/>
        <sz val="14"/>
        <color indexed="9"/>
        <rFont val="Arial"/>
        <family val="2"/>
      </rPr>
      <t xml:space="preserve">
étape 3 sur 8 - Productivité (CA HT sur nombre moyen d'employés)</t>
    </r>
  </si>
  <si>
    <r>
      <t>MÉTHODE 2 : Neghoscore</t>
    </r>
    <r>
      <rPr>
        <b/>
        <sz val="14"/>
        <color indexed="13"/>
        <rFont val="Arial"/>
        <family val="2"/>
      </rPr>
      <t xml:space="preserve"> Evaluation du management</t>
    </r>
    <r>
      <rPr>
        <b/>
        <sz val="14"/>
        <color indexed="9"/>
        <rFont val="Arial"/>
        <family val="2"/>
      </rPr>
      <t xml:space="preserve">
étape 4 sur 8 - Qualification du personnel</t>
    </r>
  </si>
  <si>
    <r>
      <t xml:space="preserve">MÉTHODE 2 : Neghoscore </t>
    </r>
    <r>
      <rPr>
        <b/>
        <sz val="14"/>
        <color indexed="13"/>
        <rFont val="Arial"/>
        <family val="2"/>
      </rPr>
      <t>Evaluation du management</t>
    </r>
    <r>
      <rPr>
        <b/>
        <sz val="14"/>
        <color indexed="9"/>
        <rFont val="Arial"/>
        <family val="2"/>
      </rPr>
      <t xml:space="preserve">
étape 5 sur 8 - Ancienneté dans le métier</t>
    </r>
  </si>
  <si>
    <r>
      <t>MÉTHODE 2 : Neghoscore</t>
    </r>
    <r>
      <rPr>
        <b/>
        <sz val="14"/>
        <color indexed="13"/>
        <rFont val="Arial"/>
        <family val="2"/>
      </rPr>
      <t xml:space="preserve"> Evaluation du management</t>
    </r>
    <r>
      <rPr>
        <b/>
        <sz val="14"/>
        <color indexed="9"/>
        <rFont val="Arial"/>
        <family val="2"/>
      </rPr>
      <t xml:space="preserve">
étape 6 sur 8 - Ancienneté dans l'établissement</t>
    </r>
  </si>
  <si>
    <r>
      <t xml:space="preserve">MÉTHODE 2 : Neghoscore </t>
    </r>
    <r>
      <rPr>
        <b/>
        <sz val="14"/>
        <color indexed="13"/>
        <rFont val="Arial"/>
        <family val="2"/>
      </rPr>
      <t>Evaluation du management</t>
    </r>
    <r>
      <rPr>
        <b/>
        <sz val="14"/>
        <color indexed="9"/>
        <rFont val="Arial"/>
        <family val="2"/>
      </rPr>
      <t xml:space="preserve">
étape 7 sur 8 - Ancienneté du propriétaire</t>
    </r>
  </si>
  <si>
    <r>
      <t xml:space="preserve">MÉTHODE 2 : Neghoscore </t>
    </r>
    <r>
      <rPr>
        <b/>
        <sz val="14"/>
        <color indexed="13"/>
        <rFont val="Arial"/>
        <family val="2"/>
      </rPr>
      <t>Evaluation du management</t>
    </r>
    <r>
      <rPr>
        <b/>
        <sz val="14"/>
        <color indexed="9"/>
        <rFont val="Arial"/>
        <family val="2"/>
      </rPr>
      <t xml:space="preserve">
étape 8 sur 8 - Résultat</t>
    </r>
  </si>
  <si>
    <r>
      <t xml:space="preserve">MÉTHODE 2 : Neghoscore </t>
    </r>
    <r>
      <rPr>
        <b/>
        <sz val="14"/>
        <color indexed="62"/>
        <rFont val="Arial"/>
        <family val="2"/>
      </rPr>
      <t>Evaluation de l'outil de travail</t>
    </r>
    <r>
      <rPr>
        <b/>
        <sz val="14"/>
        <color indexed="9"/>
        <rFont val="Arial"/>
        <family val="2"/>
      </rPr>
      <t xml:space="preserve">
étape 1 sur 3 - Vétusté des immobilisations</t>
    </r>
  </si>
  <si>
    <r>
      <t xml:space="preserve">MÉTHODE 2 : Neghoscore </t>
    </r>
    <r>
      <rPr>
        <b/>
        <sz val="14"/>
        <color indexed="62"/>
        <rFont val="Arial"/>
        <family val="2"/>
      </rPr>
      <t>Evaluation de l'outil de travail</t>
    </r>
    <r>
      <rPr>
        <b/>
        <sz val="14"/>
        <color indexed="9"/>
        <rFont val="Arial"/>
        <family val="2"/>
      </rPr>
      <t xml:space="preserve">
étape 2 sur 3 - Locaux matériel et équipements</t>
    </r>
  </si>
  <si>
    <r>
      <t xml:space="preserve">MÉTHODE 2 : Neghoscore </t>
    </r>
    <r>
      <rPr>
        <b/>
        <sz val="14"/>
        <color indexed="62"/>
        <rFont val="Arial"/>
        <family val="2"/>
      </rPr>
      <t>Evaluation de l'outil de travail</t>
    </r>
    <r>
      <rPr>
        <b/>
        <sz val="14"/>
        <color indexed="9"/>
        <rFont val="Arial"/>
        <family val="2"/>
      </rPr>
      <t xml:space="preserve">
étape 3 sur 3 - Résultat</t>
    </r>
  </si>
  <si>
    <r>
      <t xml:space="preserve">MÉTHODE 2 : Neghoscore </t>
    </r>
    <r>
      <rPr>
        <b/>
        <sz val="14"/>
        <color indexed="45"/>
        <rFont val="Arial"/>
        <family val="2"/>
      </rPr>
      <t>Evaluation de la stratégie marketing</t>
    </r>
    <r>
      <rPr>
        <b/>
        <sz val="14"/>
        <color indexed="9"/>
        <rFont val="Arial"/>
        <family val="2"/>
      </rPr>
      <t xml:space="preserve">
étape 3 sur 3 - Résultat</t>
    </r>
  </si>
  <si>
    <r>
      <t xml:space="preserve">MÉTHODE 2 : Neghoscore </t>
    </r>
    <r>
      <rPr>
        <b/>
        <sz val="14"/>
        <color indexed="45"/>
        <rFont val="Arial"/>
        <family val="2"/>
      </rPr>
      <t>Evaluation de la stratégie marketing</t>
    </r>
    <r>
      <rPr>
        <b/>
        <sz val="14"/>
        <color indexed="9"/>
        <rFont val="Arial"/>
        <family val="2"/>
      </rPr>
      <t xml:space="preserve">
étape 1 sur 3 - Revpar</t>
    </r>
  </si>
  <si>
    <r>
      <t xml:space="preserve">MÉTHODE 2 : Neghoscore </t>
    </r>
    <r>
      <rPr>
        <b/>
        <sz val="14"/>
        <color indexed="45"/>
        <rFont val="Arial"/>
        <family val="2"/>
      </rPr>
      <t>Evaluation de la stratégie marketing</t>
    </r>
    <r>
      <rPr>
        <b/>
        <sz val="14"/>
        <color indexed="9"/>
        <rFont val="Arial"/>
        <family val="2"/>
      </rPr>
      <t xml:space="preserve">
étape 2 sur 3 - Moyens commerciaux</t>
    </r>
  </si>
  <si>
    <r>
      <t xml:space="preserve">MÉTHODE 2 : Neghoscore </t>
    </r>
    <r>
      <rPr>
        <b/>
        <sz val="14"/>
        <color indexed="41"/>
        <rFont val="Arial"/>
        <family val="2"/>
      </rPr>
      <t>Evaluation des caractéristiques économiques de l'exploitation</t>
    </r>
    <r>
      <rPr>
        <b/>
        <sz val="14"/>
        <color indexed="9"/>
        <rFont val="Arial"/>
        <family val="2"/>
      </rPr>
      <t xml:space="preserve">
étape 1 sur 8 - Le bail</t>
    </r>
  </si>
  <si>
    <r>
      <t xml:space="preserve">MÉTHODE 2 : Neghoscore </t>
    </r>
    <r>
      <rPr>
        <b/>
        <sz val="14"/>
        <color indexed="41"/>
        <rFont val="Arial"/>
        <family val="2"/>
      </rPr>
      <t>Evaluation des caractéristiques économiques de l'exploitation</t>
    </r>
    <r>
      <rPr>
        <b/>
        <sz val="14"/>
        <color indexed="9"/>
        <rFont val="Arial"/>
        <family val="2"/>
      </rPr>
      <t xml:space="preserve">
étape 2 sur 8 - Environnement commercial / emplacement</t>
    </r>
  </si>
  <si>
    <r>
      <t xml:space="preserve">MÉTHODE 2 : Neghoscore </t>
    </r>
    <r>
      <rPr>
        <b/>
        <sz val="14"/>
        <color indexed="41"/>
        <rFont val="Arial"/>
        <family val="2"/>
      </rPr>
      <t>Evaluation des caractéristiques économiques de l'exploitation</t>
    </r>
    <r>
      <rPr>
        <b/>
        <sz val="14"/>
        <color indexed="9"/>
        <rFont val="Arial"/>
        <family val="2"/>
      </rPr>
      <t xml:space="preserve">
étape 3 sur 8 - Rapport CA / nombre de chambres louables</t>
    </r>
  </si>
  <si>
    <r>
      <t xml:space="preserve">MÉTHODE 2 : Neghoscore </t>
    </r>
    <r>
      <rPr>
        <b/>
        <sz val="14"/>
        <color indexed="41"/>
        <rFont val="Arial"/>
        <family val="2"/>
      </rPr>
      <t>Evaluation des caractéristiques économiques de l'exploitation</t>
    </r>
    <r>
      <rPr>
        <b/>
        <sz val="14"/>
        <color indexed="9"/>
        <rFont val="Arial"/>
        <family val="2"/>
      </rPr>
      <t xml:space="preserve">
étape 4 sur 8 - Evolution du CA HT</t>
    </r>
  </si>
  <si>
    <r>
      <t xml:space="preserve">MÉTHODE 2 : Neghoscore </t>
    </r>
    <r>
      <rPr>
        <b/>
        <sz val="14"/>
        <color indexed="41"/>
        <rFont val="Arial"/>
        <family val="2"/>
      </rPr>
      <t>Evaluation des caractéristiques économiques de l'exploitation</t>
    </r>
    <r>
      <rPr>
        <b/>
        <sz val="14"/>
        <color indexed="9"/>
        <rFont val="Arial"/>
        <family val="2"/>
      </rPr>
      <t xml:space="preserve">
étape 5 sur 8 - Rapport EBE / CA HT</t>
    </r>
  </si>
  <si>
    <r>
      <t xml:space="preserve">MÉTHODE 2 : Neghoscore </t>
    </r>
    <r>
      <rPr>
        <b/>
        <sz val="14"/>
        <color indexed="41"/>
        <rFont val="Arial"/>
        <family val="2"/>
      </rPr>
      <t>Evaluation des caractéristiques économiques de l'exploitation</t>
    </r>
    <r>
      <rPr>
        <b/>
        <sz val="14"/>
        <color indexed="9"/>
        <rFont val="Arial"/>
        <family val="2"/>
      </rPr>
      <t xml:space="preserve">
étape 6 sur 8 - Evolution de l'EBE</t>
    </r>
  </si>
  <si>
    <r>
      <t xml:space="preserve">MÉTHODE 2 : Neghoscore </t>
    </r>
    <r>
      <rPr>
        <b/>
        <sz val="14"/>
        <color indexed="41"/>
        <rFont val="Arial"/>
        <family val="2"/>
      </rPr>
      <t>Evaluation des caractéristiques économiques de l'exploitation</t>
    </r>
    <r>
      <rPr>
        <b/>
        <sz val="14"/>
        <color indexed="9"/>
        <rFont val="Arial"/>
        <family val="2"/>
      </rPr>
      <t xml:space="preserve">
étape 7 sur 8 - Nouveaux marchés de clientèle</t>
    </r>
  </si>
  <si>
    <r>
      <t xml:space="preserve">MÉTHODE 2 : Neghoscore </t>
    </r>
    <r>
      <rPr>
        <b/>
        <sz val="14"/>
        <color indexed="41"/>
        <rFont val="Arial"/>
        <family val="2"/>
      </rPr>
      <t>Evaluation des caractéristiques économiques de l'exploitation</t>
    </r>
    <r>
      <rPr>
        <b/>
        <sz val="14"/>
        <color indexed="9"/>
        <rFont val="Arial"/>
        <family val="2"/>
      </rPr>
      <t xml:space="preserve">
étape 8 sur 8 - Résultat</t>
    </r>
  </si>
  <si>
    <t>(2) Le fond de commerce des entreprises est souvent évalué à 5 fois le montant le l'EBE.
Nous avons opté pour ce coefficient de 5 fois l'EBE mais nous avons tenu à vous indiquer une fourchette possible (4,80 à 5,20).</t>
  </si>
  <si>
    <t>Avec la méthode de la capacité d'emprunt
votre affaire est valorisée à</t>
  </si>
  <si>
    <t>© Copyright 2008 L'Hôtellerie Restauration - Tous droits réservés - REPRODUCTION INTERDITE</t>
  </si>
  <si>
    <r>
      <t xml:space="preserve">A - </t>
    </r>
    <r>
      <rPr>
        <b/>
        <sz val="10"/>
        <rFont val="Arial"/>
        <family val="2"/>
      </rPr>
      <t>Ligne "impôts sur BIC" :</t>
    </r>
    <r>
      <rPr>
        <b/>
        <sz val="10"/>
        <color indexed="10"/>
        <rFont val="Arial"/>
        <family val="2"/>
      </rPr>
      <t xml:space="preserve">
</t>
    </r>
    <r>
      <rPr>
        <sz val="10"/>
        <rFont val="Arial"/>
        <family val="2"/>
      </rPr>
      <t>vous trouverez cette information en consultant la ligne HK de la liasse fiscale?</t>
    </r>
    <r>
      <rPr>
        <b/>
        <sz val="10"/>
        <rFont val="Arial"/>
        <family val="2"/>
      </rPr>
      <t xml:space="preserve">
</t>
    </r>
    <r>
      <rPr>
        <sz val="10"/>
        <rFont val="Arial"/>
        <family val="2"/>
      </rPr>
      <t>à noter que si vous êtes en nom propre et non en société, vous n'êtes pas concerné par cette ligne.</t>
    </r>
  </si>
  <si>
    <r>
      <t xml:space="preserve">B - </t>
    </r>
    <r>
      <rPr>
        <b/>
        <sz val="10"/>
        <rFont val="Arial"/>
        <family val="2"/>
      </rPr>
      <t xml:space="preserve">Ligne investissements annuels :
</t>
    </r>
    <r>
      <rPr>
        <sz val="10"/>
        <rFont val="Arial"/>
        <family val="2"/>
      </rPr>
      <t>vous trouverez cette information dans la liasse fiscale, lignes KI à LP.</t>
    </r>
  </si>
  <si>
    <t>COEFFICIENT FINANCIER*</t>
  </si>
  <si>
    <t>Avec la méthode d'évaluation Clientèle et Rentabilté votre affaire est valorisée à</t>
  </si>
  <si>
    <r>
      <t xml:space="preserve">Il s'agit ici de calculer </t>
    </r>
    <r>
      <rPr>
        <b/>
        <sz val="12"/>
        <color indexed="10"/>
        <rFont val="Arial"/>
        <family val="2"/>
      </rPr>
      <t>le rapport nombre d'employés sur nombre de chambres</t>
    </r>
    <r>
      <rPr>
        <b/>
        <sz val="12"/>
        <rFont val="Arial"/>
        <family val="2"/>
      </rPr>
      <t xml:space="preserve"> (hors apprentis)
et de le comparer à la norme professionnelle.</t>
    </r>
  </si>
  <si>
    <r>
      <t xml:space="preserve">Déterminez le </t>
    </r>
    <r>
      <rPr>
        <b/>
        <sz val="12"/>
        <color indexed="10"/>
        <rFont val="Arial"/>
        <family val="2"/>
      </rPr>
      <t>niveau de qualification moyen de vos salariés.</t>
    </r>
  </si>
  <si>
    <t>Cette étape note la capacité de l'entreprise à investir régulièrement et à préserver son outil de travail.</t>
  </si>
  <si>
    <r>
      <t xml:space="preserve">Il s'agit ici d'estimer la </t>
    </r>
    <r>
      <rPr>
        <b/>
        <sz val="12"/>
        <color indexed="10"/>
        <rFont val="Arial"/>
        <family val="2"/>
      </rPr>
      <t>qualité de l'établissement en tant qu'outil de travail.</t>
    </r>
  </si>
  <si>
    <t>REPRÉSENTATION GRAPHIQUE</t>
  </si>
  <si>
    <t>COEFFICIENT PONDÉRÉ NEGHOSCORE</t>
  </si>
  <si>
    <r>
      <t>PONDERATION</t>
    </r>
    <r>
      <rPr>
        <b/>
        <vertAlign val="superscript"/>
        <sz val="10"/>
        <color indexed="9"/>
        <rFont val="Arial"/>
        <family val="2"/>
      </rPr>
      <t xml:space="preserve">
(nb)</t>
    </r>
  </si>
  <si>
    <r>
      <t xml:space="preserve">PONDERATION
</t>
    </r>
    <r>
      <rPr>
        <b/>
        <vertAlign val="superscript"/>
        <sz val="10"/>
        <color indexed="9"/>
        <rFont val="Arial"/>
        <family val="2"/>
      </rPr>
      <t>(nb)</t>
    </r>
  </si>
  <si>
    <r>
      <t>Chiffre d'Affaires HT (</t>
    </r>
    <r>
      <rPr>
        <b/>
        <sz val="9"/>
        <color indexed="10"/>
        <rFont val="Arial"/>
        <family val="2"/>
      </rPr>
      <t>TVA 7 %</t>
    </r>
    <r>
      <rPr>
        <b/>
        <sz val="9"/>
        <rFont val="Arial"/>
        <family val="2"/>
      </rPr>
      <t>)</t>
    </r>
  </si>
  <si>
    <t>AMORTISSEMENTS</t>
  </si>
  <si>
    <t>Etablissement aux Normes deSécurité et d'Incendie (2011)</t>
  </si>
  <si>
    <r>
      <t>Si votre établissement est aux normes de 2015</t>
    </r>
    <r>
      <rPr>
        <sz val="10"/>
        <rFont val="Arial"/>
        <family val="2"/>
      </rPr>
      <t xml:space="preserve"> =&gt; entrez 4, si non =&gt; entrez 1.
La non-conformité est établie par la liste des travaux demandés par la commission départementale d'accessibilité                           articles L111-7-3 et R111-19-8 du code de la construction et de l’habitation</t>
    </r>
  </si>
  <si>
    <t>Etablissement aux Normes Handicapées (2015)</t>
  </si>
  <si>
    <r>
      <t xml:space="preserve">Reportez-vous aux n° 615200 et n° 615500 du plan comptable détaillé.
Si le résultat de l'opération : </t>
    </r>
    <r>
      <rPr>
        <b/>
        <sz val="10"/>
        <rFont val="Arial"/>
        <family val="2"/>
      </rPr>
      <t>dépenses d'entretien des locaux / CA HT  :</t>
    </r>
    <r>
      <rPr>
        <sz val="10"/>
        <rFont val="Arial"/>
        <family val="2"/>
      </rPr>
      <t xml:space="preserve">
*  représentent  2% du CA HT =&gt; entrez 1       * représentent 3% du CA HT =&gt; entrez 2,
*  représentent 4% du CA HT =&gt; entrez 3        *  représentent 5% du CA HT =&gt; entrez 4.   </t>
    </r>
  </si>
  <si>
    <r>
      <t xml:space="preserve">ici, </t>
    </r>
    <r>
      <rPr>
        <b/>
        <sz val="10"/>
        <rFont val="Arial"/>
        <family val="2"/>
      </rPr>
      <t>grosse rénovation</t>
    </r>
    <r>
      <rPr>
        <sz val="10"/>
        <rFont val="Arial"/>
        <family val="2"/>
      </rPr>
      <t xml:space="preserve"> = rénovation des locaux d'un service ou au minimum 30% des chambres :
</t>
    </r>
    <r>
      <rPr>
        <b/>
        <sz val="10"/>
        <color indexed="10"/>
        <rFont val="Arial"/>
        <family val="2"/>
      </rPr>
      <t>-</t>
    </r>
    <r>
      <rPr>
        <sz val="10"/>
        <rFont val="Arial"/>
        <family val="2"/>
      </rPr>
      <t xml:space="preserve"> si celle-ci a eu lieu l'année N-3 =&gt; entrez 1 ;       - l'année N-2 =&gt; entrez 2 ; 
- l'année N-1 =&gt; entrez 3 ;                                   - l'année N =&gt; entrez 4.</t>
    </r>
  </si>
  <si>
    <r>
      <t xml:space="preserve">Le ratio indiqué ci-contre a été calculé dans la page précédente.
</t>
    </r>
    <r>
      <rPr>
        <sz val="10"/>
        <color indexed="10"/>
        <rFont val="Arial"/>
        <family val="2"/>
      </rPr>
      <t>-</t>
    </r>
    <r>
      <rPr>
        <sz val="10"/>
        <rFont val="Arial"/>
        <family val="2"/>
      </rPr>
      <t xml:space="preserve"> si votre ratio est &lt; à 30% =&gt; entrez 1,    - compris entre 31 et 40% =&gt; entrez 2,
- compris entre 41 et 50% =&gt; entrez 3,     - égal ou supérieur à 51% =&gt; entrez 4.
</t>
    </r>
  </si>
  <si>
    <r>
      <t xml:space="preserve">Votre établissement totalement est equipé d'une </t>
    </r>
    <r>
      <rPr>
        <b/>
        <sz val="10"/>
        <rFont val="Arial"/>
        <family val="2"/>
      </rPr>
      <t>climatisation</t>
    </r>
    <r>
      <rPr>
        <sz val="10"/>
        <rFont val="Arial"/>
        <family val="2"/>
      </rPr>
      <t xml:space="preserve"> =&gt; entrez 4,                                                                                S'il est equipé partiellement =&gt; entrez 2  si non =&gt; entrez 1.
</t>
    </r>
  </si>
  <si>
    <r>
      <t>Votre établissement totalement est equipé dde doubles vitrages</t>
    </r>
    <r>
      <rPr>
        <sz val="10"/>
        <rFont val="Arial"/>
        <family val="2"/>
      </rPr>
      <t xml:space="preserve"> =&gt; entrez 4,                                                                                S'il est equipé partiellement =&gt; entrez 2  si non =&gt; entrez 1.
</t>
    </r>
  </si>
  <si>
    <t>Votre CA TTC pondéré</t>
  </si>
  <si>
    <t>Votre EBE moyen pondéré</t>
  </si>
  <si>
    <r>
      <t>Avertissement :</t>
    </r>
    <r>
      <rPr>
        <sz val="10"/>
        <rFont val="Arial"/>
        <family val="2"/>
      </rPr>
      <t xml:space="preserve">
cet outil est destiné à réaliser une estimation au plus juste de votre fonds de commerce
mais il ne peut en aucun cas être produit comme justificatif.
</t>
    </r>
    <r>
      <rPr>
        <b/>
        <sz val="10"/>
        <rFont val="Arial"/>
        <family val="2"/>
      </rPr>
      <t>Attention : 
C</t>
    </r>
    <r>
      <rPr>
        <sz val="10"/>
        <rFont val="Arial"/>
        <family val="2"/>
      </rPr>
      <t>e tableur ne peut aussi fonctionner que si l'affaire est exploitée depuis au moins 3 ans (trois années de bilan).</t>
    </r>
  </si>
  <si>
    <r>
      <t>Avertissement :</t>
    </r>
    <r>
      <rPr>
        <sz val="10"/>
        <rFont val="Arial"/>
        <family val="2"/>
      </rPr>
      <t xml:space="preserve">
cet outil est destiné à réaliser une estimation au plus juste de votre fonds de commerce
mais il ne peut en aucun cas être produit comme justificatif.
</t>
    </r>
    <r>
      <rPr>
        <b/>
        <sz val="10"/>
        <rFont val="Arial"/>
        <family val="2"/>
      </rPr>
      <t>Attention : 
C</t>
    </r>
    <r>
      <rPr>
        <sz val="10"/>
        <rFont val="Arial"/>
        <family val="2"/>
      </rPr>
      <t xml:space="preserve">e tableur ne peut aussi fonctionner que si l'affaire est exploitée depuis </t>
    </r>
    <r>
      <rPr>
        <sz val="10"/>
        <rFont val="Arial"/>
        <family val="2"/>
      </rPr>
      <t>au moins 3 ans (trois années de bilan).</t>
    </r>
  </si>
  <si>
    <t>COMMENT APPLIQUER LA TVA DANS LES CHR DEPUIS LE 1er JANVIER 2014</t>
  </si>
  <si>
    <r>
      <t>Chiffre d'Affaires  HT                (</t>
    </r>
    <r>
      <rPr>
        <b/>
        <sz val="9"/>
        <color indexed="10"/>
        <rFont val="Arial"/>
        <family val="2"/>
      </rPr>
      <t>10</t>
    </r>
    <r>
      <rPr>
        <b/>
        <sz val="9"/>
        <rFont val="Arial"/>
        <family val="2"/>
      </rPr>
      <t xml:space="preserve"> </t>
    </r>
    <r>
      <rPr>
        <b/>
        <sz val="9"/>
        <color indexed="10"/>
        <rFont val="Arial"/>
        <family val="2"/>
      </rPr>
      <t>%</t>
    </r>
    <r>
      <rPr>
        <b/>
        <sz val="9"/>
        <rFont val="Arial"/>
        <family val="2"/>
      </rPr>
      <t>)</t>
    </r>
  </si>
  <si>
    <t>STRATEGIE  MARKETING DIGITAL</t>
  </si>
  <si>
    <t>Indépendance vis-à-vis des OTAS</t>
  </si>
  <si>
    <t>Présence sur les Réseaux Sociaux</t>
  </si>
  <si>
    <t>Possibilité de réserver une chambre  sur votre site internet</t>
  </si>
  <si>
    <r>
      <t>Si vous avez une</t>
    </r>
    <r>
      <rPr>
        <sz val="10"/>
        <rFont val="Arial"/>
        <family val="2"/>
      </rPr>
      <t xml:space="preserve"> </t>
    </r>
    <r>
      <rPr>
        <b/>
        <sz val="10"/>
        <rFont val="Arial"/>
        <family val="2"/>
      </rPr>
      <t>licence IV =&gt; entrez 4, si non =&gt; entrez 1.</t>
    </r>
    <r>
      <rPr>
        <sz val="10"/>
        <rFont val="Arial"/>
        <family val="2"/>
      </rPr>
      <t xml:space="preserve">
NB : une licence IV vous permet de développer des sources de CA et donc de profit comme les minibars dans les chambres, salon bar.</t>
    </r>
  </si>
  <si>
    <r>
      <t xml:space="preserve">Si l'établissement dispose d'un </t>
    </r>
    <r>
      <rPr>
        <b/>
        <sz val="10"/>
        <rFont val="Arial"/>
        <family val="2"/>
      </rPr>
      <t>site Internet</t>
    </r>
    <r>
      <rPr>
        <sz val="10"/>
        <rFont val="Arial"/>
        <family val="2"/>
      </rPr>
      <t xml:space="preserve"> c'est un plus : </t>
    </r>
    <r>
      <rPr>
        <b/>
        <sz val="10"/>
        <rFont val="Arial"/>
        <family val="2"/>
      </rPr>
      <t>entrez 4,</t>
    </r>
    <r>
      <rPr>
        <sz val="10"/>
        <rFont val="Arial"/>
        <family val="2"/>
      </rPr>
      <t xml:space="preserve"> sinon, </t>
    </r>
    <r>
      <rPr>
        <b/>
        <sz val="10"/>
        <rFont val="Arial"/>
        <family val="2"/>
      </rPr>
      <t>entrez 1.</t>
    </r>
  </si>
  <si>
    <t>MOYENS COMMERCIAUX</t>
  </si>
  <si>
    <r>
      <t xml:space="preserve">Une trop forte dépendance  aux OTAS est préjudiciable pour les hoteliers indépendants dans l'évaluation de leur Affaire. En effet la clientèle, élément constitutif essentiel du fonds de commerce, devient progressivement la propriété des distributeurs entrainant une moins value du fonds de commerce. Nous calculons la dépendance en terme de % de chiffre d'affaires réalisé avec les OTAS,  Ils sont considérés dans notre raisonnement comme un fournisseurs de clientéle c'est à dire un client. Si une entreprise réalise  plus de 30% de son CA avec un seul client elle est considérée comme trés exposée à un risque de disparation si ce client venait à faire défaut. </t>
    </r>
    <r>
      <rPr>
        <b/>
        <sz val="10"/>
        <rFont val="Arial"/>
        <family val="2"/>
      </rPr>
      <t>Si vous réalisez 30% ou plus de votre CA avec les OTAS entrez 1</t>
    </r>
    <r>
      <rPr>
        <sz val="10"/>
        <rFont val="Arial"/>
        <family val="2"/>
      </rPr>
      <t xml:space="preserve">; </t>
    </r>
    <r>
      <rPr>
        <b/>
        <sz val="10"/>
        <rFont val="Arial"/>
        <family val="2"/>
      </rPr>
      <t>si vous réalisez entre 20% et 30 % entrez 2</t>
    </r>
    <r>
      <rPr>
        <sz val="10"/>
        <rFont val="Arial"/>
        <family val="2"/>
      </rPr>
      <t xml:space="preserve">, </t>
    </r>
    <r>
      <rPr>
        <b/>
        <sz val="10"/>
        <rFont val="Arial"/>
        <family val="2"/>
      </rPr>
      <t>si vous réalisez entre 10 et 20 % de votre CA entrez 3</t>
    </r>
    <r>
      <rPr>
        <sz val="10"/>
        <rFont val="Arial"/>
        <family val="2"/>
      </rPr>
      <t xml:space="preserve"> </t>
    </r>
    <r>
      <rPr>
        <b/>
        <sz val="10"/>
        <rFont val="Arial"/>
        <family val="2"/>
      </rPr>
      <t>et si vous réalisez moins de 10%  de votre CA avec les OTAS entrez 4.</t>
    </r>
  </si>
  <si>
    <r>
      <t xml:space="preserve">Il apparait aujourd'hui que le site internet de l'hôtel ne suffit plus pour communiquer et entretenir une relation commerciale et ou amicale  avec ses clients et ses prospects, Une présence sur les réseaux sociaux ( Facebook, Twitter, Viadeo, Google Plus, YouTube,,,, ) est devenu nécessaire, </t>
    </r>
    <r>
      <rPr>
        <b/>
        <sz val="10"/>
        <rFont val="Arial"/>
        <family val="2"/>
      </rPr>
      <t>entrez 1 si vous n'étes sur aucun réseau et entrez 4 si vous êtes au moins sur un réseau.</t>
    </r>
  </si>
  <si>
    <r>
      <t xml:space="preserve">Une des façons de résister à l'hégémonie des On line Travel Agencies (OTAs) est d'offrir la possibilité à vos clients d'effectuer une réservation en ligne de leur chambre dans votre établissement. </t>
    </r>
    <r>
      <rPr>
        <b/>
        <sz val="10"/>
        <rFont val="Arial"/>
        <family val="2"/>
      </rPr>
      <t>Entrez 4 si cela est possible sur votre site et entrez  1 si cela ne l'est pas.</t>
    </r>
  </si>
  <si>
    <t>résultat de votre CA TTC annuel / nb chambres louables</t>
  </si>
  <si>
    <t xml:space="preserve">Le prix d'un bien immobilier, même étayé par une évaluation loyale et soigneusement élaborée, n'est que celui qui rapproche le vendeur        et l'acquéreur autour de l'acte de vente. Cette évaluation n'est pas un chiffre qui s'établit par l'application d'une méthode rigoureusement mathématique mais par l'interprétation prudente et le croisement de plusieurs méthodes qui conduisent à déterminer la valeur vénale recherchée. 
La valeur vénale c'est le prix auquel un droit de propriété pourrait raisonnablement être vendu sur le marché à l'amiable au moment de l'évaluation, les conditions suivantes étant supposées préalablement réunies :
• Que la libre volonté de l'acquéreur et du vendeur soient réelles.
• Qu'un délai raisonnable pour la négociation, compte tenu de la nature du bien et de la situation du marché soit instauré.
• Que la valeur du bien en question soit suffisamment stable durant ce délai.
• Qu'il y ait absence de facteurs de convenance personnelle dans la détermination du prix.
</t>
  </si>
  <si>
    <r>
      <t>Avertissement :</t>
    </r>
    <r>
      <rPr>
        <b/>
        <sz val="10"/>
        <rFont val="Arial"/>
        <family val="2"/>
      </rPr>
      <t xml:space="preserve">
cet outil est destiné à réaliser une estimation au plus juste de votre fonds de commerce
mais il ne peut en aucun cas être produit comme justificatif.
Attention : 
Ce tableur ne peut  fonctionner que si l'affaire est exploitée depuis au moins 3 ans (trois années de bilan).</t>
    </r>
  </si>
  <si>
    <r>
      <t>Chiffre d'Affaires HT (</t>
    </r>
    <r>
      <rPr>
        <b/>
        <sz val="9"/>
        <color indexed="10"/>
        <rFont val="Arial"/>
        <family val="2"/>
      </rPr>
      <t>TVA 20%</t>
    </r>
    <r>
      <rPr>
        <b/>
        <sz val="9"/>
        <rFont val="Arial"/>
        <family val="2"/>
      </rPr>
      <t>)</t>
    </r>
  </si>
  <si>
    <t xml:space="preserve">2 - Reportez-vous à la page "Soldes Intermédiaires de Gestion" détaillée                                          et remplissez cette grille à partir des chiffres présents pour chaque poste.
</t>
  </si>
  <si>
    <r>
      <t xml:space="preserve">
A -</t>
    </r>
    <r>
      <rPr>
        <sz val="10"/>
        <rFont val="Arial"/>
        <family val="2"/>
      </rPr>
      <t xml:space="preserve"> Votre compte de résultat étant chiffré en HT, commencez par remplir la ligne du chiffre d'affaires HT et le TTC se calculera automatiquement. La TVA sur le  petit déjeuner et l'hébergement est de 10%, celle des boissons alcoolisées Minibar et Bar est de 20%. Je vous conseille de cliquer sur le lien ci-dessous "Comment appliquer la tva dans les CHR" si vous avez le moindre doute;
</t>
    </r>
    <r>
      <rPr>
        <b/>
        <sz val="10"/>
        <rFont val="Arial"/>
        <family val="2"/>
      </rPr>
      <t xml:space="preserve">B - </t>
    </r>
    <r>
      <rPr>
        <sz val="10"/>
        <rFont val="Arial"/>
        <family val="2"/>
      </rPr>
      <t xml:space="preserve">Ressortez de la rubrique "AUTRES ACHATS  ET CHARGES EXTERNES" les montants des postes location immobilière et charges sur location immobilière que vous placerez dans ce tableau en face de la rubrique Loyer + Charges.
</t>
    </r>
    <r>
      <rPr>
        <b/>
        <sz val="10"/>
        <rFont val="Arial"/>
        <family val="2"/>
      </rPr>
      <t>C -</t>
    </r>
    <r>
      <rPr>
        <sz val="10"/>
        <rFont val="Arial"/>
        <family val="2"/>
      </rPr>
      <t xml:space="preserve"> Si, en tant que propriétaire, vous percevez un salaire figurant dans le poste salaires et charges du compte de résultat, vous devez déduire votre salaire et vos charges de ce poste. Ils s'imputeront automatiquement sur l'EBE.</t>
    </r>
  </si>
  <si>
    <t>Coût achat m/ses consommées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</si>
</sst>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 &quot;€&quot;"/>
    <numFmt numFmtId="169" formatCode="#,##0.0000"/>
    <numFmt numFmtId="170" formatCode="#,##0.00\ &quot;€&quot;"/>
    <numFmt numFmtId="171" formatCode="0.000%"/>
  </numFmts>
  <fonts count="111">
    <font>
      <sz val="10"/>
      <name val="Arial"/>
      <family val="0"/>
    </font>
    <font>
      <sz val="11"/>
      <color indexed="8"/>
      <name val="Calibri"/>
      <family val="2"/>
    </font>
    <font>
      <b/>
      <sz val="10"/>
      <name val="Arial"/>
      <family val="2"/>
    </font>
    <font>
      <b/>
      <sz val="12"/>
      <name val="Trebuchet MS"/>
      <family val="2"/>
    </font>
    <font>
      <b/>
      <i/>
      <sz val="10"/>
      <name val="Arial"/>
      <family val="2"/>
    </font>
    <font>
      <sz val="10"/>
      <color indexed="63"/>
      <name val="Arial"/>
      <family val="2"/>
    </font>
    <font>
      <u val="single"/>
      <sz val="10"/>
      <color indexed="12"/>
      <name val="Arial"/>
      <family val="2"/>
    </font>
    <font>
      <b/>
      <sz val="10"/>
      <color indexed="12"/>
      <name val="Arial"/>
      <family val="2"/>
    </font>
    <font>
      <sz val="10"/>
      <color indexed="10"/>
      <name val="Arial"/>
      <family val="2"/>
    </font>
    <font>
      <sz val="8"/>
      <name val="Arial"/>
      <family val="2"/>
    </font>
    <font>
      <b/>
      <sz val="12"/>
      <name val="Arial"/>
      <family val="2"/>
    </font>
    <font>
      <sz val="11"/>
      <name val="Arial"/>
      <family val="2"/>
    </font>
    <font>
      <b/>
      <sz val="10"/>
      <color indexed="10"/>
      <name val="Arial"/>
      <family val="2"/>
    </font>
    <font>
      <sz val="12"/>
      <name val="Arial"/>
      <family val="2"/>
    </font>
    <font>
      <b/>
      <sz val="14"/>
      <name val="Arial"/>
      <family val="2"/>
    </font>
    <font>
      <b/>
      <sz val="14"/>
      <color indexed="12"/>
      <name val="Arial"/>
      <family val="2"/>
    </font>
    <font>
      <sz val="10"/>
      <name val="Verdana"/>
      <family val="2"/>
    </font>
    <font>
      <b/>
      <sz val="10"/>
      <color indexed="12"/>
      <name val="Verdana"/>
      <family val="2"/>
    </font>
    <font>
      <sz val="10"/>
      <color indexed="12"/>
      <name val="Verdana"/>
      <family val="2"/>
    </font>
    <font>
      <b/>
      <sz val="10"/>
      <name val="Verdana"/>
      <family val="2"/>
    </font>
    <font>
      <b/>
      <sz val="16"/>
      <color indexed="12"/>
      <name val="Verdana"/>
      <family val="2"/>
    </font>
    <font>
      <sz val="16"/>
      <name val="Verdana"/>
      <family val="2"/>
    </font>
    <font>
      <sz val="9"/>
      <name val="Verdana"/>
      <family val="2"/>
    </font>
    <font>
      <b/>
      <sz val="12"/>
      <name val="Verdana"/>
      <family val="2"/>
    </font>
    <font>
      <sz val="9"/>
      <name val="Arial"/>
      <family val="2"/>
    </font>
    <font>
      <sz val="14"/>
      <name val="Arial"/>
      <family val="2"/>
    </font>
    <font>
      <sz val="10"/>
      <color indexed="9"/>
      <name val="Arial"/>
      <family val="2"/>
    </font>
    <font>
      <b/>
      <sz val="10"/>
      <color indexed="9"/>
      <name val="Arial"/>
      <family val="2"/>
    </font>
    <font>
      <b/>
      <sz val="12"/>
      <color indexed="10"/>
      <name val="Arial"/>
      <family val="2"/>
    </font>
    <font>
      <b/>
      <u val="single"/>
      <sz val="12"/>
      <color indexed="12"/>
      <name val="Arial"/>
      <family val="2"/>
    </font>
    <font>
      <b/>
      <sz val="12"/>
      <color indexed="49"/>
      <name val="Arial"/>
      <family val="2"/>
    </font>
    <font>
      <b/>
      <sz val="14"/>
      <color indexed="9"/>
      <name val="Arial"/>
      <family val="2"/>
    </font>
    <font>
      <b/>
      <sz val="16"/>
      <color indexed="10"/>
      <name val="Arial"/>
      <family val="2"/>
    </font>
    <font>
      <sz val="10"/>
      <color indexed="49"/>
      <name val="Arial"/>
      <family val="2"/>
    </font>
    <font>
      <b/>
      <u val="single"/>
      <sz val="9"/>
      <color indexed="10"/>
      <name val="Arial"/>
      <family val="2"/>
    </font>
    <font>
      <b/>
      <sz val="10"/>
      <color indexed="49"/>
      <name val="Arial"/>
      <family val="2"/>
    </font>
    <font>
      <b/>
      <sz val="10"/>
      <color indexed="53"/>
      <name val="Arial"/>
      <family val="2"/>
    </font>
    <font>
      <b/>
      <u val="single"/>
      <sz val="12"/>
      <color indexed="10"/>
      <name val="Arial"/>
      <family val="2"/>
    </font>
    <font>
      <sz val="12"/>
      <name val="Verdana"/>
      <family val="2"/>
    </font>
    <font>
      <i/>
      <sz val="10"/>
      <name val="Arial"/>
      <family val="2"/>
    </font>
    <font>
      <sz val="12"/>
      <color indexed="12"/>
      <name val="Verdana"/>
      <family val="2"/>
    </font>
    <font>
      <b/>
      <sz val="9"/>
      <name val="Arial"/>
      <family val="2"/>
    </font>
    <font>
      <b/>
      <sz val="11"/>
      <name val="Arial"/>
      <family val="2"/>
    </font>
    <font>
      <b/>
      <sz val="10"/>
      <name val="Symbol"/>
      <family val="1"/>
    </font>
    <font>
      <b/>
      <sz val="9"/>
      <name val="Verdana"/>
      <family val="2"/>
    </font>
    <font>
      <b/>
      <vertAlign val="superscript"/>
      <sz val="10"/>
      <name val="Arial"/>
      <family val="2"/>
    </font>
    <font>
      <vertAlign val="superscript"/>
      <sz val="10"/>
      <name val="Arial"/>
      <family val="2"/>
    </font>
    <font>
      <b/>
      <sz val="10"/>
      <color indexed="60"/>
      <name val="Verdana"/>
      <family val="2"/>
    </font>
    <font>
      <sz val="10"/>
      <color indexed="60"/>
      <name val="Verdana"/>
      <family val="2"/>
    </font>
    <font>
      <b/>
      <sz val="10"/>
      <color indexed="11"/>
      <name val="Arial"/>
      <family val="2"/>
    </font>
    <font>
      <b/>
      <sz val="18"/>
      <name val="Arial"/>
      <family val="2"/>
    </font>
    <font>
      <b/>
      <sz val="20"/>
      <color indexed="9"/>
      <name val="Arial"/>
      <family val="2"/>
    </font>
    <font>
      <b/>
      <sz val="20"/>
      <name val="Arial"/>
      <family val="2"/>
    </font>
    <font>
      <b/>
      <vertAlign val="superscript"/>
      <sz val="10"/>
      <color indexed="9"/>
      <name val="Arial"/>
      <family val="2"/>
    </font>
    <font>
      <b/>
      <sz val="12"/>
      <color indexed="9"/>
      <name val="Arial"/>
      <family val="2"/>
    </font>
    <font>
      <b/>
      <sz val="14"/>
      <color indexed="41"/>
      <name val="Arial"/>
      <family val="2"/>
    </font>
    <font>
      <b/>
      <sz val="14"/>
      <color indexed="13"/>
      <name val="Arial"/>
      <family val="2"/>
    </font>
    <font>
      <b/>
      <sz val="14"/>
      <color indexed="62"/>
      <name val="Arial"/>
      <family val="2"/>
    </font>
    <font>
      <b/>
      <sz val="14"/>
      <color indexed="45"/>
      <name val="Arial"/>
      <family val="2"/>
    </font>
    <font>
      <b/>
      <vertAlign val="superscript"/>
      <sz val="10"/>
      <color indexed="10"/>
      <name val="Arial"/>
      <family val="2"/>
    </font>
    <font>
      <b/>
      <u val="single"/>
      <vertAlign val="superscript"/>
      <sz val="12"/>
      <color indexed="10"/>
      <name val="Arial"/>
      <family val="2"/>
    </font>
    <font>
      <b/>
      <sz val="11"/>
      <color indexed="9"/>
      <name val="Arial"/>
      <family val="2"/>
    </font>
    <font>
      <b/>
      <sz val="9"/>
      <color indexed="10"/>
      <name val="Arial"/>
      <family val="2"/>
    </font>
    <font>
      <sz val="9"/>
      <color indexed="10"/>
      <name val="Arial"/>
      <family val="2"/>
    </font>
    <font>
      <b/>
      <sz val="11"/>
      <color indexed="10"/>
      <name val="Arial"/>
      <family val="2"/>
    </font>
    <font>
      <b/>
      <sz val="14"/>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2"/>
      <name val="Arial"/>
      <family val="2"/>
    </font>
    <font>
      <sz val="17"/>
      <color indexed="8"/>
      <name val="Arial"/>
      <family val="0"/>
    </font>
    <font>
      <b/>
      <sz val="11.5"/>
      <color indexed="57"/>
      <name val="Arial"/>
      <family val="0"/>
    </font>
    <font>
      <b/>
      <sz val="11.75"/>
      <color indexed="8"/>
      <name val="Arial"/>
      <family val="0"/>
    </font>
    <font>
      <b/>
      <sz val="17.75"/>
      <color indexed="8"/>
      <name val="Arial"/>
      <family val="0"/>
    </font>
    <font>
      <sz val="2.5"/>
      <color indexed="8"/>
      <name val="Arial"/>
      <family val="0"/>
    </font>
    <font>
      <b/>
      <sz val="1.5"/>
      <color indexed="57"/>
      <name val="Arial"/>
      <family val="0"/>
    </font>
    <font>
      <b/>
      <sz val="2.25"/>
      <color indexed="13"/>
      <name val="Verdana"/>
      <family val="0"/>
    </font>
    <font>
      <b/>
      <sz val="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FF"/>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9"/>
        <bgColor indexed="64"/>
      </patternFill>
    </fill>
    <fill>
      <patternFill patternType="solid">
        <fgColor indexed="22"/>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8"/>
        <bgColor indexed="64"/>
      </patternFill>
    </fill>
    <fill>
      <patternFill patternType="solid">
        <fgColor indexed="51"/>
        <bgColor indexed="64"/>
      </patternFill>
    </fill>
    <fill>
      <patternFill patternType="solid">
        <fgColor indexed="45"/>
        <bgColor indexed="64"/>
      </patternFill>
    </fill>
    <fill>
      <patternFill patternType="solid">
        <fgColor rgb="FFFFC000"/>
        <bgColor indexed="64"/>
      </patternFill>
    </fill>
    <fill>
      <patternFill patternType="solid">
        <fgColor theme="0"/>
        <bgColor indexed="64"/>
      </patternFill>
    </fill>
    <fill>
      <patternFill patternType="solid">
        <fgColor indexed="49"/>
        <bgColor indexed="64"/>
      </patternFill>
    </fill>
    <fill>
      <patternFill patternType="solid">
        <fgColor indexed="49"/>
        <bgColor indexed="64"/>
      </patternFill>
    </fill>
    <fill>
      <patternFill patternType="solid">
        <fgColor indexed="55"/>
        <bgColor indexed="64"/>
      </patternFill>
    </fill>
    <fill>
      <patternFill patternType="solid">
        <fgColor indexed="13"/>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top style="mediumDashDot">
        <color indexed="49"/>
      </top>
      <bottom/>
    </border>
    <border>
      <left style="medium"/>
      <right style="thin"/>
      <top style="medium"/>
      <bottom style="thin"/>
    </border>
    <border>
      <left style="medium"/>
      <right style="thin"/>
      <top style="thin"/>
      <bottom style="thin"/>
    </border>
    <border>
      <left/>
      <right/>
      <top style="thin"/>
      <bottom style="thin"/>
    </border>
    <border>
      <left style="thin"/>
      <right/>
      <top style="thin"/>
      <bottom style="thin"/>
    </border>
    <border>
      <left style="thin"/>
      <right style="thin"/>
      <top/>
      <bottom style="thin"/>
    </border>
    <border>
      <left/>
      <right style="thin"/>
      <top style="thin"/>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right style="thin"/>
      <top/>
      <bottom/>
    </border>
    <border>
      <left style="thin"/>
      <right style="thin"/>
      <top/>
      <bottom/>
    </border>
    <border>
      <left style="thick">
        <color indexed="41"/>
      </left>
      <right/>
      <top/>
      <bottom/>
    </border>
    <border>
      <left/>
      <right style="thick">
        <color indexed="41"/>
      </right>
      <top/>
      <bottom/>
    </border>
    <border>
      <left style="thin"/>
      <right style="medium"/>
      <top style="thin"/>
      <bottom style="thin"/>
    </border>
    <border>
      <left style="medium"/>
      <right style="thin"/>
      <top/>
      <bottom style="medium"/>
    </border>
    <border>
      <left style="thin"/>
      <right style="thin"/>
      <top/>
      <bottom style="medium"/>
    </border>
    <border>
      <left style="thin"/>
      <right style="thin"/>
      <top style="thin"/>
      <bottom style="medium"/>
    </border>
    <border>
      <left style="thin"/>
      <right style="medium"/>
      <top style="thin"/>
      <bottom style="medium"/>
    </border>
    <border>
      <left style="double"/>
      <right style="double"/>
      <top style="double"/>
      <bottom style="double"/>
    </border>
    <border>
      <left/>
      <right/>
      <top/>
      <bottom style="double">
        <color indexed="49"/>
      </bottom>
    </border>
    <border>
      <left style="double">
        <color indexed="10"/>
      </left>
      <right/>
      <top style="double">
        <color indexed="10"/>
      </top>
      <bottom/>
    </border>
    <border>
      <left/>
      <right/>
      <top style="double">
        <color indexed="10"/>
      </top>
      <bottom/>
    </border>
    <border>
      <left/>
      <right style="double">
        <color indexed="10"/>
      </right>
      <top style="double">
        <color indexed="10"/>
      </top>
      <bottom/>
    </border>
    <border>
      <left style="double">
        <color indexed="10"/>
      </left>
      <right/>
      <top/>
      <bottom style="double">
        <color indexed="10"/>
      </bottom>
    </border>
    <border>
      <left/>
      <right/>
      <top/>
      <bottom style="double">
        <color indexed="10"/>
      </bottom>
    </border>
    <border>
      <left/>
      <right style="double">
        <color indexed="10"/>
      </right>
      <top/>
      <bottom style="double">
        <color indexed="10"/>
      </bottom>
    </border>
    <border>
      <left style="double">
        <color indexed="10"/>
      </left>
      <right/>
      <top style="double">
        <color indexed="10"/>
      </top>
      <bottom style="double">
        <color indexed="10"/>
      </bottom>
    </border>
    <border>
      <left/>
      <right/>
      <top style="double">
        <color indexed="10"/>
      </top>
      <bottom style="double">
        <color indexed="10"/>
      </bottom>
    </border>
    <border>
      <left/>
      <right style="double">
        <color indexed="10"/>
      </right>
      <top style="double">
        <color indexed="10"/>
      </top>
      <bottom style="double">
        <color indexed="10"/>
      </bottom>
    </border>
    <border>
      <left style="mediumDashDot">
        <color indexed="49"/>
      </left>
      <right/>
      <top style="mediumDashDot">
        <color indexed="49"/>
      </top>
      <bottom style="mediumDashDot">
        <color indexed="49"/>
      </bottom>
    </border>
    <border>
      <left/>
      <right/>
      <top style="mediumDashDot">
        <color indexed="49"/>
      </top>
      <bottom style="mediumDashDot">
        <color indexed="49"/>
      </bottom>
    </border>
    <border>
      <left/>
      <right style="mediumDashDot">
        <color indexed="49"/>
      </right>
      <top style="mediumDashDot">
        <color indexed="49"/>
      </top>
      <bottom style="mediumDashDot">
        <color indexed="49"/>
      </bottom>
    </border>
    <border>
      <left style="double">
        <color indexed="10"/>
      </left>
      <right/>
      <top/>
      <bottom/>
    </border>
    <border>
      <left/>
      <right style="double">
        <color indexed="10"/>
      </right>
      <top/>
      <bottom/>
    </border>
    <border>
      <left style="thin"/>
      <right style="thin"/>
      <top style="medium"/>
      <bottom style="thin"/>
    </border>
    <border>
      <left style="double">
        <color rgb="FF00B050"/>
      </left>
      <right/>
      <top style="double">
        <color rgb="FF00B050"/>
      </top>
      <bottom style="double">
        <color rgb="FF00B050"/>
      </bottom>
    </border>
    <border>
      <left/>
      <right/>
      <top style="double">
        <color rgb="FF00B050"/>
      </top>
      <bottom style="double">
        <color rgb="FF00B050"/>
      </bottom>
    </border>
    <border>
      <left/>
      <right style="double">
        <color rgb="FF00B050"/>
      </right>
      <top style="double">
        <color rgb="FF00B050"/>
      </top>
      <bottom style="double">
        <color rgb="FF00B050"/>
      </bottom>
    </border>
    <border>
      <left style="thin"/>
      <right style="medium"/>
      <top style="medium"/>
      <bottom style="thin"/>
    </border>
    <border>
      <left style="double">
        <color indexed="49"/>
      </left>
      <right/>
      <top style="double">
        <color indexed="49"/>
      </top>
      <bottom/>
    </border>
    <border>
      <left/>
      <right/>
      <top style="double">
        <color indexed="49"/>
      </top>
      <bottom/>
    </border>
    <border>
      <left/>
      <right style="double">
        <color indexed="49"/>
      </right>
      <top style="double">
        <color indexed="49"/>
      </top>
      <bottom/>
    </border>
    <border>
      <left style="double">
        <color indexed="49"/>
      </left>
      <right/>
      <top/>
      <bottom/>
    </border>
    <border>
      <left/>
      <right style="double">
        <color indexed="49"/>
      </right>
      <top/>
      <bottom/>
    </border>
    <border>
      <left style="double">
        <color indexed="49"/>
      </left>
      <right/>
      <top/>
      <bottom style="double">
        <color indexed="49"/>
      </bottom>
    </border>
    <border>
      <left/>
      <right style="double">
        <color indexed="49"/>
      </right>
      <top/>
      <bottom style="double">
        <color indexed="49"/>
      </bottom>
    </border>
    <border>
      <left/>
      <right/>
      <top/>
      <bottom style="double">
        <color rgb="FF00B050"/>
      </bottom>
    </border>
    <border>
      <left style="mediumDashDot">
        <color indexed="49"/>
      </left>
      <right/>
      <top/>
      <bottom/>
    </border>
    <border>
      <left/>
      <right style="mediumDashDot">
        <color indexed="49"/>
      </right>
      <top/>
      <bottom/>
    </border>
    <border>
      <left style="mediumDashDot">
        <color indexed="49"/>
      </left>
      <right/>
      <top/>
      <bottom style="mediumDashDot">
        <color indexed="49"/>
      </bottom>
    </border>
    <border>
      <left/>
      <right/>
      <top/>
      <bottom style="mediumDashDot">
        <color indexed="49"/>
      </bottom>
    </border>
    <border>
      <left/>
      <right style="mediumDashDot">
        <color indexed="49"/>
      </right>
      <top/>
      <bottom style="mediumDashDot">
        <color indexed="49"/>
      </bottom>
    </border>
    <border>
      <left style="mediumDashDot">
        <color indexed="49"/>
      </left>
      <right/>
      <top style="mediumDashDot">
        <color indexed="49"/>
      </top>
      <bottom/>
    </border>
    <border>
      <left/>
      <right style="mediumDashDot">
        <color indexed="49"/>
      </right>
      <top style="mediumDashDot">
        <color indexed="49"/>
      </top>
      <bottom/>
    </border>
    <border>
      <left style="thin"/>
      <right/>
      <top style="mediumDashDot">
        <color indexed="49"/>
      </top>
      <bottom style="mediumDashDot">
        <color indexed="49"/>
      </bottom>
    </border>
    <border>
      <left style="double">
        <color rgb="FF92D050"/>
      </left>
      <right/>
      <top style="double">
        <color rgb="FF92D050"/>
      </top>
      <bottom style="double">
        <color rgb="FF92D050"/>
      </bottom>
    </border>
    <border>
      <left/>
      <right/>
      <top style="double">
        <color rgb="FF92D050"/>
      </top>
      <bottom style="double">
        <color rgb="FF92D050"/>
      </bottom>
    </border>
    <border>
      <left/>
      <right style="double">
        <color rgb="FF92D050"/>
      </right>
      <top style="double">
        <color rgb="FF92D050"/>
      </top>
      <bottom style="double">
        <color rgb="FF92D050"/>
      </bottom>
    </border>
    <border>
      <left style="double">
        <color rgb="FFFF0000"/>
      </left>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0" borderId="2" applyNumberFormat="0" applyFill="0" applyAlignment="0" applyProtection="0"/>
    <xf numFmtId="0" fontId="97" fillId="27" borderId="1" applyNumberFormat="0" applyAlignment="0" applyProtection="0"/>
    <xf numFmtId="44" fontId="0" fillId="0" borderId="0" applyFont="0" applyFill="0" applyBorder="0" applyAlignment="0" applyProtection="0"/>
    <xf numFmtId="0" fontId="98" fillId="28" borderId="0" applyNumberFormat="0" applyBorder="0" applyAlignment="0" applyProtection="0"/>
    <xf numFmtId="0" fontId="6" fillId="0" borderId="0" applyNumberFormat="0" applyFill="0" applyBorder="0" applyAlignment="0" applyProtection="0"/>
    <xf numFmtId="0" fontId="9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101" fillId="31" borderId="0" applyNumberFormat="0" applyBorder="0" applyAlignment="0" applyProtection="0"/>
    <xf numFmtId="0" fontId="102" fillId="26" borderId="4" applyNumberFormat="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2" borderId="9" applyNumberFormat="0" applyAlignment="0" applyProtection="0"/>
  </cellStyleXfs>
  <cellXfs count="722">
    <xf numFmtId="0" fontId="0" fillId="0" borderId="0" xfId="0" applyAlignment="1">
      <alignment/>
    </xf>
    <xf numFmtId="9" fontId="26" fillId="0" borderId="0" xfId="0" applyNumberFormat="1" applyFont="1" applyAlignment="1" applyProtection="1">
      <alignment/>
      <protection hidden="1"/>
    </xf>
    <xf numFmtId="0" fontId="26" fillId="0" borderId="0" xfId="0" applyFont="1" applyAlignment="1" applyProtection="1">
      <alignment/>
      <protection hidden="1"/>
    </xf>
    <xf numFmtId="0" fontId="27" fillId="0" borderId="0" xfId="0" applyFont="1" applyFill="1" applyBorder="1" applyAlignment="1" applyProtection="1">
      <alignment horizontal="center"/>
      <protection hidden="1"/>
    </xf>
    <xf numFmtId="1" fontId="26" fillId="0" borderId="0" xfId="53" applyNumberFormat="1" applyFont="1" applyAlignment="1" applyProtection="1">
      <alignment/>
      <protection hidden="1"/>
    </xf>
    <xf numFmtId="3" fontId="2" fillId="0" borderId="10" xfId="53" applyNumberFormat="1" applyFont="1" applyBorder="1" applyAlignment="1" applyProtection="1">
      <alignment horizontal="center"/>
      <protection hidden="1"/>
    </xf>
    <xf numFmtId="9" fontId="26" fillId="0" borderId="0" xfId="0" applyNumberFormat="1" applyFont="1" applyFill="1" applyAlignment="1" applyProtection="1">
      <alignment/>
      <protection hidden="1"/>
    </xf>
    <xf numFmtId="0" fontId="26" fillId="0" borderId="0" xfId="0" applyFont="1" applyFill="1" applyAlignment="1" applyProtection="1">
      <alignment/>
      <protection hidden="1"/>
    </xf>
    <xf numFmtId="9" fontId="26" fillId="0" borderId="0" xfId="0" applyNumberFormat="1" applyFont="1" applyFill="1" applyBorder="1" applyAlignment="1" applyProtection="1">
      <alignment/>
      <protection hidden="1"/>
    </xf>
    <xf numFmtId="0" fontId="26" fillId="0" borderId="0" xfId="0" applyFont="1" applyFill="1" applyBorder="1" applyAlignment="1" applyProtection="1">
      <alignment/>
      <protection hidden="1"/>
    </xf>
    <xf numFmtId="2" fontId="26" fillId="0" borderId="0" xfId="0" applyNumberFormat="1" applyFont="1" applyFill="1" applyBorder="1" applyAlignment="1" applyProtection="1">
      <alignment/>
      <protection hidden="1"/>
    </xf>
    <xf numFmtId="10" fontId="26" fillId="0" borderId="0" xfId="0" applyNumberFormat="1" applyFont="1" applyFill="1" applyAlignment="1" applyProtection="1">
      <alignment/>
      <protection hidden="1"/>
    </xf>
    <xf numFmtId="10" fontId="26" fillId="0" borderId="0" xfId="53" applyNumberFormat="1" applyFont="1" applyFill="1" applyAlignment="1" applyProtection="1">
      <alignment/>
      <protection hidden="1"/>
    </xf>
    <xf numFmtId="171" fontId="26" fillId="0" borderId="0" xfId="53" applyNumberFormat="1" applyFont="1" applyFill="1" applyAlignment="1" applyProtection="1">
      <alignment/>
      <protection hidden="1"/>
    </xf>
    <xf numFmtId="3" fontId="2" fillId="0" borderId="0" xfId="53" applyNumberFormat="1" applyFont="1" applyFill="1" applyBorder="1" applyAlignment="1" applyProtection="1">
      <alignment horizontal="center"/>
      <protection hidden="1"/>
    </xf>
    <xf numFmtId="1" fontId="26" fillId="0" borderId="0" xfId="0" applyNumberFormat="1" applyFont="1" applyAlignment="1" applyProtection="1">
      <alignment/>
      <protection hidden="1"/>
    </xf>
    <xf numFmtId="168" fontId="13" fillId="33" borderId="10" xfId="0" applyNumberFormat="1" applyFont="1" applyFill="1" applyBorder="1" applyAlignment="1" applyProtection="1">
      <alignment horizontal="right" vertical="center" wrapText="1"/>
      <protection locked="0"/>
    </xf>
    <xf numFmtId="0" fontId="2" fillId="33" borderId="10" xfId="0" applyFont="1" applyFill="1" applyBorder="1" applyAlignment="1" applyProtection="1">
      <alignment horizontal="center"/>
      <protection locked="0"/>
    </xf>
    <xf numFmtId="0" fontId="2" fillId="33" borderId="11" xfId="0" applyFont="1" applyFill="1" applyBorder="1" applyAlignment="1" applyProtection="1">
      <alignment horizontal="center"/>
      <protection locked="0"/>
    </xf>
    <xf numFmtId="3" fontId="2" fillId="33" borderId="10" xfId="0" applyNumberFormat="1" applyFont="1" applyFill="1" applyBorder="1" applyAlignment="1" applyProtection="1">
      <alignment horizontal="center"/>
      <protection locked="0"/>
    </xf>
    <xf numFmtId="1" fontId="2" fillId="33" borderId="10" xfId="0" applyNumberFormat="1" applyFont="1" applyFill="1" applyBorder="1" applyAlignment="1" applyProtection="1">
      <alignment horizontal="center"/>
      <protection locked="0"/>
    </xf>
    <xf numFmtId="1" fontId="23" fillId="33" borderId="10" xfId="0" applyNumberFormat="1" applyFont="1" applyFill="1" applyBorder="1" applyAlignment="1" applyProtection="1">
      <alignment horizontal="center" vertical="center" wrapText="1"/>
      <protection locked="0"/>
    </xf>
    <xf numFmtId="0" fontId="0" fillId="0" borderId="0" xfId="0" applyAlignment="1" applyProtection="1">
      <alignment/>
      <protection hidden="1"/>
    </xf>
    <xf numFmtId="0" fontId="0" fillId="0" borderId="0" xfId="0" applyAlignment="1" applyProtection="1">
      <alignment horizontal="left"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Alignment="1" applyProtection="1">
      <alignment horizontal="center" vertical="center"/>
      <protection hidden="1"/>
    </xf>
    <xf numFmtId="0" fontId="5" fillId="0" borderId="0" xfId="0" applyFont="1" applyAlignment="1" applyProtection="1">
      <alignment horizontal="left" vertical="center"/>
      <protection hidden="1"/>
    </xf>
    <xf numFmtId="0" fontId="0" fillId="0" borderId="0" xfId="0" applyBorder="1" applyAlignment="1" applyProtection="1">
      <alignment vertical="center"/>
      <protection hidden="1"/>
    </xf>
    <xf numFmtId="0" fontId="2"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49" fontId="30" fillId="34" borderId="12" xfId="0" applyNumberFormat="1" applyFont="1" applyFill="1" applyBorder="1" applyAlignment="1" applyProtection="1">
      <alignment horizontal="center" vertical="center" wrapText="1"/>
      <protection hidden="1"/>
    </xf>
    <xf numFmtId="49" fontId="10" fillId="34" borderId="12" xfId="0" applyNumberFormat="1" applyFont="1" applyFill="1" applyBorder="1" applyAlignment="1" applyProtection="1">
      <alignment horizontal="center" vertical="center" wrapText="1"/>
      <protection hidden="1"/>
    </xf>
    <xf numFmtId="0" fontId="29" fillId="35" borderId="0" xfId="45" applyFont="1" applyFill="1" applyAlignment="1" applyProtection="1">
      <alignment horizontal="center" vertical="center" wrapText="1"/>
      <protection hidden="1"/>
    </xf>
    <xf numFmtId="0" fontId="0" fillId="0" borderId="0" xfId="0" applyFill="1" applyAlignment="1" applyProtection="1">
      <alignment/>
      <protection hidden="1"/>
    </xf>
    <xf numFmtId="0" fontId="6" fillId="0" borderId="0" xfId="45" applyAlignment="1" applyProtection="1">
      <alignment/>
      <protection hidden="1"/>
    </xf>
    <xf numFmtId="0" fontId="0" fillId="0" borderId="0" xfId="0" applyAlignment="1" applyProtection="1">
      <alignment horizontal="center"/>
      <protection hidden="1"/>
    </xf>
    <xf numFmtId="0" fontId="34" fillId="0" borderId="0" xfId="0" applyFont="1" applyBorder="1" applyAlignment="1" applyProtection="1">
      <alignment wrapText="1"/>
      <protection hidden="1"/>
    </xf>
    <xf numFmtId="0" fontId="24" fillId="0" borderId="0" xfId="0" applyFont="1" applyBorder="1" applyAlignment="1" applyProtection="1">
      <alignment wrapText="1"/>
      <protection hidden="1"/>
    </xf>
    <xf numFmtId="0" fontId="28" fillId="0" borderId="0" xfId="0" applyFont="1" applyAlignment="1" applyProtection="1">
      <alignment/>
      <protection hidden="1"/>
    </xf>
    <xf numFmtId="0" fontId="2" fillId="0" borderId="0" xfId="0" applyFont="1" applyAlignment="1" applyProtection="1">
      <alignment/>
      <protection hidden="1"/>
    </xf>
    <xf numFmtId="0" fontId="30" fillId="0" borderId="0" xfId="0" applyFont="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4" fillId="33" borderId="0" xfId="0" applyFont="1" applyFill="1" applyBorder="1" applyAlignment="1" applyProtection="1">
      <alignment horizontal="center" vertical="center" wrapText="1"/>
      <protection hidden="1" locked="0"/>
    </xf>
    <xf numFmtId="0" fontId="0" fillId="0" borderId="0" xfId="0" applyFill="1" applyBorder="1" applyAlignment="1" applyProtection="1">
      <alignment/>
      <protection hidden="1"/>
    </xf>
    <xf numFmtId="0" fontId="0" fillId="0" borderId="0" xfId="0" applyFill="1" applyAlignment="1" applyProtection="1">
      <alignment/>
      <protection hidden="1"/>
    </xf>
    <xf numFmtId="0" fontId="30" fillId="0" borderId="0" xfId="0" applyFont="1" applyAlignment="1" applyProtection="1">
      <alignment vertical="top"/>
      <protection hidden="1"/>
    </xf>
    <xf numFmtId="0" fontId="0" fillId="0" borderId="0" xfId="0" applyFill="1" applyAlignment="1" applyProtection="1">
      <alignment horizontal="center"/>
      <protection hidden="1"/>
    </xf>
    <xf numFmtId="0" fontId="2" fillId="0" borderId="0" xfId="0" applyFont="1" applyAlignment="1" applyProtection="1">
      <alignment vertical="top"/>
      <protection hidden="1"/>
    </xf>
    <xf numFmtId="0" fontId="7" fillId="0" borderId="0" xfId="0" applyFont="1" applyAlignment="1" applyProtection="1">
      <alignment vertical="top"/>
      <protection hidden="1"/>
    </xf>
    <xf numFmtId="0" fontId="0" fillId="0" borderId="0" xfId="0" applyAlignment="1" applyProtection="1">
      <alignment vertical="top"/>
      <protection hidden="1"/>
    </xf>
    <xf numFmtId="0" fontId="6" fillId="0" borderId="0" xfId="45" applyAlignment="1" applyProtection="1">
      <alignment horizontal="right"/>
      <protection hidden="1"/>
    </xf>
    <xf numFmtId="0" fontId="7" fillId="0" borderId="0" xfId="0" applyFont="1" applyAlignment="1" applyProtection="1">
      <alignment/>
      <protection hidden="1"/>
    </xf>
    <xf numFmtId="3" fontId="0" fillId="34" borderId="13" xfId="0" applyNumberFormat="1" applyFill="1" applyBorder="1" applyAlignment="1" applyProtection="1">
      <alignment horizontal="center" vertical="center" wrapText="1"/>
      <protection hidden="1"/>
    </xf>
    <xf numFmtId="3" fontId="41" fillId="0" borderId="14" xfId="0" applyNumberFormat="1" applyFont="1" applyFill="1" applyBorder="1" applyAlignment="1" applyProtection="1">
      <alignment horizontal="center" vertical="center" wrapText="1"/>
      <protection hidden="1"/>
    </xf>
    <xf numFmtId="3" fontId="2" fillId="0" borderId="14" xfId="0" applyNumberFormat="1" applyFont="1" applyBorder="1" applyAlignment="1" applyProtection="1">
      <alignment horizontal="center" vertical="center" wrapText="1"/>
      <protection hidden="1"/>
    </xf>
    <xf numFmtId="0" fontId="0" fillId="0" borderId="0" xfId="0" applyNumberFormat="1" applyAlignment="1" applyProtection="1">
      <alignment/>
      <protection hidden="1"/>
    </xf>
    <xf numFmtId="3" fontId="10" fillId="34" borderId="15" xfId="0" applyNumberFormat="1" applyFont="1" applyFill="1" applyBorder="1" applyAlignment="1" applyProtection="1">
      <alignment vertical="center" wrapText="1"/>
      <protection hidden="1"/>
    </xf>
    <xf numFmtId="49" fontId="0" fillId="0" borderId="0" xfId="0" applyNumberFormat="1" applyAlignment="1" applyProtection="1">
      <alignment/>
      <protection hidden="1"/>
    </xf>
    <xf numFmtId="3" fontId="0" fillId="0" borderId="0" xfId="0" applyNumberFormat="1" applyAlignment="1" applyProtection="1">
      <alignment/>
      <protection hidden="1"/>
    </xf>
    <xf numFmtId="3" fontId="10" fillId="34" borderId="15" xfId="0" applyNumberFormat="1" applyFont="1" applyFill="1" applyBorder="1" applyAlignment="1" applyProtection="1">
      <alignment horizontal="left" vertical="center" wrapText="1"/>
      <protection hidden="1"/>
    </xf>
    <xf numFmtId="3" fontId="10" fillId="0" borderId="15" xfId="0" applyNumberFormat="1" applyFont="1" applyBorder="1" applyAlignment="1" applyProtection="1">
      <alignment horizontal="left" vertical="center" wrapText="1"/>
      <protection hidden="1"/>
    </xf>
    <xf numFmtId="0" fontId="0" fillId="0" borderId="0" xfId="0" applyAlignment="1" applyProtection="1">
      <alignment/>
      <protection hidden="1"/>
    </xf>
    <xf numFmtId="49" fontId="30" fillId="0" borderId="0" xfId="0" applyNumberFormat="1" applyFont="1" applyFill="1" applyBorder="1" applyAlignment="1" applyProtection="1">
      <alignment horizontal="left" vertical="top" wrapText="1"/>
      <protection hidden="1"/>
    </xf>
    <xf numFmtId="49" fontId="35" fillId="0" borderId="0" xfId="0" applyNumberFormat="1" applyFont="1" applyFill="1" applyBorder="1" applyAlignment="1" applyProtection="1">
      <alignment vertical="center" wrapText="1"/>
      <protection hidden="1"/>
    </xf>
    <xf numFmtId="49" fontId="13" fillId="0" borderId="0" xfId="0" applyNumberFormat="1" applyFont="1" applyFill="1" applyBorder="1" applyAlignment="1" applyProtection="1">
      <alignment vertical="top" wrapText="1"/>
      <protection hidden="1"/>
    </xf>
    <xf numFmtId="49" fontId="13" fillId="0" borderId="0" xfId="0" applyNumberFormat="1" applyFont="1" applyFill="1" applyBorder="1" applyAlignment="1" applyProtection="1">
      <alignment horizontal="left" vertical="top" wrapText="1"/>
      <protection hidden="1"/>
    </xf>
    <xf numFmtId="0" fontId="0" fillId="0" borderId="0" xfId="0" applyAlignment="1" applyProtection="1">
      <alignment horizontal="left"/>
      <protection hidden="1"/>
    </xf>
    <xf numFmtId="3" fontId="10" fillId="0" borderId="0" xfId="0" applyNumberFormat="1" applyFont="1" applyFill="1" applyBorder="1" applyAlignment="1" applyProtection="1">
      <alignment vertical="center" wrapText="1"/>
      <protection hidden="1"/>
    </xf>
    <xf numFmtId="3" fontId="13" fillId="0" borderId="10" xfId="0" applyNumberFormat="1" applyFont="1" applyFill="1" applyBorder="1" applyAlignment="1" applyProtection="1">
      <alignment horizontal="center" vertical="center" wrapText="1"/>
      <protection hidden="1"/>
    </xf>
    <xf numFmtId="169" fontId="13" fillId="0" borderId="10" xfId="0" applyNumberFormat="1" applyFont="1" applyFill="1" applyBorder="1" applyAlignment="1" applyProtection="1">
      <alignment horizontal="center" vertical="center" wrapText="1"/>
      <protection hidden="1"/>
    </xf>
    <xf numFmtId="168" fontId="10" fillId="0" borderId="11" xfId="0" applyNumberFormat="1" applyFont="1" applyFill="1" applyBorder="1" applyAlignment="1" applyProtection="1">
      <alignment horizontal="right" vertical="center" wrapText="1"/>
      <protection hidden="1"/>
    </xf>
    <xf numFmtId="3" fontId="10" fillId="0" borderId="16" xfId="0" applyNumberFormat="1" applyFont="1" applyBorder="1" applyAlignment="1" applyProtection="1">
      <alignment vertical="center" wrapText="1"/>
      <protection hidden="1"/>
    </xf>
    <xf numFmtId="3" fontId="10" fillId="0" borderId="15" xfId="0" applyNumberFormat="1" applyFont="1" applyBorder="1" applyAlignment="1" applyProtection="1">
      <alignment vertical="center" wrapText="1"/>
      <protection hidden="1"/>
    </xf>
    <xf numFmtId="3" fontId="13" fillId="0" borderId="15" xfId="0" applyNumberFormat="1" applyFont="1" applyFill="1" applyBorder="1" applyAlignment="1" applyProtection="1">
      <alignment vertical="center" wrapText="1"/>
      <protection hidden="1"/>
    </xf>
    <xf numFmtId="168" fontId="14" fillId="36" borderId="0" xfId="0" applyNumberFormat="1" applyFont="1" applyFill="1" applyBorder="1" applyAlignment="1" applyProtection="1">
      <alignment vertical="center" wrapText="1"/>
      <protection hidden="1"/>
    </xf>
    <xf numFmtId="0" fontId="25" fillId="0" borderId="0" xfId="0" applyFont="1" applyAlignment="1" applyProtection="1">
      <alignment/>
      <protection hidden="1"/>
    </xf>
    <xf numFmtId="3" fontId="13" fillId="0" borderId="15" xfId="0" applyNumberFormat="1" applyFont="1" applyBorder="1" applyAlignment="1" applyProtection="1">
      <alignment vertical="center" wrapText="1"/>
      <protection hidden="1"/>
    </xf>
    <xf numFmtId="3" fontId="15" fillId="0" borderId="0" xfId="0" applyNumberFormat="1" applyFont="1" applyBorder="1" applyAlignment="1" applyProtection="1">
      <alignment horizontal="center" vertical="center" wrapText="1"/>
      <protection hidden="1"/>
    </xf>
    <xf numFmtId="168" fontId="15" fillId="0" borderId="0" xfId="0" applyNumberFormat="1" applyFont="1" applyBorder="1" applyAlignment="1" applyProtection="1">
      <alignment horizontal="center" vertical="center" wrapText="1"/>
      <protection hidden="1"/>
    </xf>
    <xf numFmtId="0" fontId="10" fillId="0" borderId="0" xfId="0" applyFont="1" applyAlignment="1" applyProtection="1">
      <alignment vertical="top" wrapText="1"/>
      <protection hidden="1"/>
    </xf>
    <xf numFmtId="49" fontId="30" fillId="0" borderId="0" xfId="0" applyNumberFormat="1" applyFont="1" applyFill="1" applyBorder="1" applyAlignment="1" applyProtection="1">
      <alignment vertical="center" wrapText="1"/>
      <protection hidden="1"/>
    </xf>
    <xf numFmtId="0" fontId="0" fillId="0" borderId="0" xfId="0" applyAlignment="1" applyProtection="1">
      <alignment wrapText="1"/>
      <protection hidden="1"/>
    </xf>
    <xf numFmtId="2" fontId="2" fillId="0" borderId="10" xfId="0" applyNumberFormat="1" applyFont="1" applyFill="1" applyBorder="1" applyAlignment="1" applyProtection="1">
      <alignment horizontal="center" vertical="center"/>
      <protection hidden="1"/>
    </xf>
    <xf numFmtId="2" fontId="2" fillId="0" borderId="0" xfId="0" applyNumberFormat="1" applyFont="1" applyBorder="1" applyAlignment="1" applyProtection="1">
      <alignment horizontal="center"/>
      <protection hidden="1"/>
    </xf>
    <xf numFmtId="0" fontId="2" fillId="37" borderId="11" xfId="0" applyFont="1" applyFill="1" applyBorder="1" applyAlignment="1" applyProtection="1">
      <alignment horizontal="center"/>
      <protection hidden="1"/>
    </xf>
    <xf numFmtId="0" fontId="0" fillId="37" borderId="10" xfId="0" applyFont="1" applyFill="1" applyBorder="1" applyAlignment="1" applyProtection="1">
      <alignment horizontal="center"/>
      <protection hidden="1"/>
    </xf>
    <xf numFmtId="0" fontId="2" fillId="37" borderId="17" xfId="0" applyFont="1" applyFill="1" applyBorder="1" applyAlignment="1" applyProtection="1">
      <alignment horizontal="center"/>
      <protection hidden="1"/>
    </xf>
    <xf numFmtId="0" fontId="0" fillId="37" borderId="17" xfId="0" applyFont="1" applyFill="1" applyBorder="1" applyAlignment="1" applyProtection="1">
      <alignment horizontal="center"/>
      <protection hidden="1"/>
    </xf>
    <xf numFmtId="0" fontId="2" fillId="38" borderId="11" xfId="0" applyFont="1" applyFill="1" applyBorder="1" applyAlignment="1" applyProtection="1">
      <alignment horizontal="center"/>
      <protection hidden="1"/>
    </xf>
    <xf numFmtId="0" fontId="0" fillId="38" borderId="10" xfId="0" applyFont="1" applyFill="1" applyBorder="1" applyAlignment="1" applyProtection="1">
      <alignment horizontal="center"/>
      <protection hidden="1"/>
    </xf>
    <xf numFmtId="0" fontId="2" fillId="38" borderId="17" xfId="0" applyFont="1" applyFill="1" applyBorder="1" applyAlignment="1" applyProtection="1">
      <alignment horizontal="center"/>
      <protection hidden="1"/>
    </xf>
    <xf numFmtId="0" fontId="0" fillId="38" borderId="17" xfId="0" applyFont="1" applyFill="1" applyBorder="1" applyAlignment="1" applyProtection="1">
      <alignment horizontal="center"/>
      <protection hidden="1"/>
    </xf>
    <xf numFmtId="0" fontId="0" fillId="0" borderId="0" xfId="0" applyAlignment="1" applyProtection="1">
      <alignment horizontal="left" indent="1"/>
      <protection hidden="1"/>
    </xf>
    <xf numFmtId="0" fontId="0" fillId="0" borderId="0" xfId="0" applyAlignment="1" applyProtection="1">
      <alignment horizontal="right"/>
      <protection hidden="1"/>
    </xf>
    <xf numFmtId="3" fontId="31" fillId="0" borderId="0" xfId="0" applyNumberFormat="1" applyFont="1" applyFill="1" applyBorder="1" applyAlignment="1" applyProtection="1">
      <alignment vertical="center" wrapText="1"/>
      <protection hidden="1"/>
    </xf>
    <xf numFmtId="0" fontId="31" fillId="36" borderId="0" xfId="0" applyFont="1" applyFill="1" applyBorder="1" applyAlignment="1" applyProtection="1">
      <alignment horizontal="right" vertical="center" wrapText="1"/>
      <protection hidden="1"/>
    </xf>
    <xf numFmtId="0" fontId="31" fillId="36" borderId="0" xfId="0" applyFont="1" applyFill="1" applyBorder="1" applyAlignment="1" applyProtection="1">
      <alignment horizontal="right" vertical="center"/>
      <protection hidden="1"/>
    </xf>
    <xf numFmtId="0" fontId="14" fillId="36" borderId="0" xfId="0" applyFont="1" applyFill="1" applyBorder="1" applyAlignment="1" applyProtection="1">
      <alignment horizontal="center" vertical="center"/>
      <protection hidden="1"/>
    </xf>
    <xf numFmtId="0" fontId="31" fillId="36" borderId="0" xfId="0" applyFont="1" applyFill="1" applyBorder="1" applyAlignment="1" applyProtection="1">
      <alignment vertical="center"/>
      <protection hidden="1"/>
    </xf>
    <xf numFmtId="0" fontId="2" fillId="0" borderId="0" xfId="0" applyFont="1" applyFill="1" applyBorder="1" applyAlignment="1" applyProtection="1">
      <alignment horizontal="center"/>
      <protection hidden="1"/>
    </xf>
    <xf numFmtId="0" fontId="2" fillId="0" borderId="0" xfId="0" applyFont="1" applyBorder="1" applyAlignment="1" applyProtection="1">
      <alignment/>
      <protection hidden="1"/>
    </xf>
    <xf numFmtId="0" fontId="0" fillId="0" borderId="10" xfId="0" applyFill="1" applyBorder="1" applyAlignment="1" applyProtection="1">
      <alignment horizontal="center"/>
      <protection hidden="1"/>
    </xf>
    <xf numFmtId="3" fontId="0" fillId="0" borderId="10" xfId="0" applyNumberFormat="1" applyFill="1" applyBorder="1" applyAlignment="1" applyProtection="1">
      <alignment horizontal="center"/>
      <protection hidden="1"/>
    </xf>
    <xf numFmtId="10" fontId="2" fillId="0" borderId="10" xfId="53" applyNumberFormat="1" applyFont="1" applyBorder="1" applyAlignment="1" applyProtection="1">
      <alignment horizontal="center"/>
      <protection hidden="1"/>
    </xf>
    <xf numFmtId="0" fontId="0" fillId="37" borderId="18" xfId="0" applyFont="1" applyFill="1" applyBorder="1" applyAlignment="1" applyProtection="1">
      <alignment horizontal="center"/>
      <protection hidden="1"/>
    </xf>
    <xf numFmtId="0" fontId="0" fillId="38" borderId="18" xfId="0" applyFont="1" applyFill="1" applyBorder="1" applyAlignment="1" applyProtection="1">
      <alignment horizontal="center"/>
      <protection hidden="1"/>
    </xf>
    <xf numFmtId="10" fontId="0" fillId="0" borderId="0" xfId="0" applyNumberFormat="1" applyAlignment="1" applyProtection="1">
      <alignment horizontal="left" indent="1"/>
      <protection hidden="1"/>
    </xf>
    <xf numFmtId="0" fontId="49" fillId="0" borderId="0" xfId="0" applyFont="1" applyFill="1" applyAlignment="1" applyProtection="1">
      <alignment/>
      <protection hidden="1"/>
    </xf>
    <xf numFmtId="0" fontId="32" fillId="0" borderId="0" xfId="0" applyFont="1" applyFill="1" applyAlignment="1" applyProtection="1">
      <alignment/>
      <protection hidden="1"/>
    </xf>
    <xf numFmtId="0" fontId="50" fillId="0" borderId="0" xfId="0" applyFont="1" applyFill="1" applyAlignment="1" applyProtection="1">
      <alignment horizontal="center"/>
      <protection hidden="1"/>
    </xf>
    <xf numFmtId="49" fontId="30" fillId="0" borderId="0" xfId="0" applyNumberFormat="1" applyFont="1" applyFill="1" applyBorder="1" applyAlignment="1" applyProtection="1">
      <alignment horizontal="center" vertical="center" wrapText="1"/>
      <protection hidden="1"/>
    </xf>
    <xf numFmtId="3" fontId="0" fillId="0" borderId="10" xfId="0" applyNumberFormat="1" applyFont="1" applyFill="1" applyBorder="1" applyAlignment="1" applyProtection="1">
      <alignment horizontal="center"/>
      <protection hidden="1"/>
    </xf>
    <xf numFmtId="0" fontId="2" fillId="0" borderId="0" xfId="0" applyFont="1" applyFill="1" applyAlignment="1" applyProtection="1">
      <alignment/>
      <protection hidden="1"/>
    </xf>
    <xf numFmtId="3" fontId="2" fillId="37" borderId="18" xfId="0" applyNumberFormat="1" applyFont="1" applyFill="1" applyBorder="1" applyAlignment="1" applyProtection="1">
      <alignment horizontal="center"/>
      <protection hidden="1"/>
    </xf>
    <xf numFmtId="0" fontId="2" fillId="37" borderId="10" xfId="0" applyFont="1" applyFill="1" applyBorder="1" applyAlignment="1" applyProtection="1">
      <alignment horizontal="center"/>
      <protection hidden="1"/>
    </xf>
    <xf numFmtId="0" fontId="0" fillId="37" borderId="17" xfId="0" applyFill="1" applyBorder="1" applyAlignment="1" applyProtection="1">
      <alignment horizontal="center"/>
      <protection hidden="1"/>
    </xf>
    <xf numFmtId="0" fontId="0" fillId="37" borderId="10" xfId="0" applyFill="1" applyBorder="1" applyAlignment="1" applyProtection="1">
      <alignment horizontal="center"/>
      <protection hidden="1"/>
    </xf>
    <xf numFmtId="11" fontId="2" fillId="35" borderId="0" xfId="0" applyNumberFormat="1" applyFont="1" applyFill="1" applyAlignment="1" applyProtection="1">
      <alignment horizontal="center"/>
      <protection hidden="1"/>
    </xf>
    <xf numFmtId="0" fontId="2" fillId="35" borderId="0" xfId="0" applyFont="1" applyFill="1" applyAlignment="1" applyProtection="1">
      <alignment horizontal="center"/>
      <protection hidden="1"/>
    </xf>
    <xf numFmtId="0" fontId="2" fillId="38" borderId="10" xfId="0" applyFont="1" applyFill="1" applyBorder="1" applyAlignment="1" applyProtection="1">
      <alignment horizontal="center"/>
      <protection hidden="1"/>
    </xf>
    <xf numFmtId="3" fontId="2" fillId="38" borderId="18" xfId="0" applyNumberFormat="1" applyFont="1" applyFill="1" applyBorder="1" applyAlignment="1" applyProtection="1">
      <alignment horizontal="center"/>
      <protection hidden="1"/>
    </xf>
    <xf numFmtId="0" fontId="0" fillId="38" borderId="10" xfId="0" applyFill="1" applyBorder="1" applyAlignment="1" applyProtection="1">
      <alignment horizontal="center"/>
      <protection hidden="1"/>
    </xf>
    <xf numFmtId="3" fontId="0" fillId="0" borderId="10" xfId="53" applyNumberFormat="1" applyFont="1" applyBorder="1" applyAlignment="1" applyProtection="1">
      <alignment horizontal="left" indent="1"/>
      <protection hidden="1"/>
    </xf>
    <xf numFmtId="0" fontId="35" fillId="0" borderId="0" xfId="0" applyFont="1" applyAlignment="1" applyProtection="1">
      <alignment/>
      <protection hidden="1"/>
    </xf>
    <xf numFmtId="0" fontId="49" fillId="0" borderId="0" xfId="0" applyFont="1" applyAlignment="1" applyProtection="1">
      <alignment/>
      <protection hidden="1"/>
    </xf>
    <xf numFmtId="0" fontId="14" fillId="35" borderId="0" xfId="0" applyFont="1" applyFill="1" applyBorder="1" applyAlignment="1" applyProtection="1">
      <alignment horizontal="center"/>
      <protection hidden="1"/>
    </xf>
    <xf numFmtId="0" fontId="33" fillId="0" borderId="0" xfId="0" applyFont="1" applyAlignment="1" applyProtection="1">
      <alignment/>
      <protection hidden="1"/>
    </xf>
    <xf numFmtId="3" fontId="31" fillId="0" borderId="0" xfId="0" applyNumberFormat="1" applyFont="1" applyFill="1" applyBorder="1" applyAlignment="1" applyProtection="1">
      <alignment horizontal="right" vertical="center" wrapText="1"/>
      <protection hidden="1"/>
    </xf>
    <xf numFmtId="3" fontId="25" fillId="0" borderId="0" xfId="0" applyNumberFormat="1" applyFont="1" applyFill="1" applyBorder="1" applyAlignment="1" applyProtection="1">
      <alignment vertical="center" wrapText="1"/>
      <protection hidden="1"/>
    </xf>
    <xf numFmtId="0" fontId="31" fillId="36" borderId="0" xfId="0" applyFont="1" applyFill="1" applyBorder="1" applyAlignment="1" applyProtection="1">
      <alignment horizontal="left" vertical="center"/>
      <protection hidden="1"/>
    </xf>
    <xf numFmtId="0" fontId="13" fillId="0" borderId="0" xfId="0" applyFont="1" applyAlignment="1" applyProtection="1">
      <alignment/>
      <protection hidden="1"/>
    </xf>
    <xf numFmtId="0" fontId="10" fillId="0" borderId="0" xfId="0" applyFont="1" applyAlignment="1" applyProtection="1">
      <alignment vertical="top"/>
      <protection hidden="1"/>
    </xf>
    <xf numFmtId="0" fontId="2" fillId="0" borderId="10" xfId="0" applyFont="1" applyFill="1" applyBorder="1" applyAlignment="1" applyProtection="1">
      <alignment horizontal="center"/>
      <protection hidden="1"/>
    </xf>
    <xf numFmtId="3" fontId="2" fillId="0" borderId="10" xfId="0" applyNumberFormat="1" applyFont="1" applyBorder="1" applyAlignment="1" applyProtection="1">
      <alignment horizontal="center"/>
      <protection hidden="1"/>
    </xf>
    <xf numFmtId="0" fontId="47" fillId="0" borderId="0" xfId="0" applyFont="1" applyBorder="1" applyAlignment="1" applyProtection="1">
      <alignment horizontal="left" vertical="center" wrapText="1"/>
      <protection hidden="1"/>
    </xf>
    <xf numFmtId="0" fontId="48" fillId="0" borderId="0" xfId="0" applyFont="1" applyAlignment="1" applyProtection="1">
      <alignment horizontal="center" vertical="center" wrapText="1"/>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3" fontId="14" fillId="39" borderId="0" xfId="0" applyNumberFormat="1" applyFont="1" applyFill="1" applyBorder="1" applyAlignment="1" applyProtection="1">
      <alignment horizontal="center" vertical="center" wrapText="1"/>
      <protection hidden="1"/>
    </xf>
    <xf numFmtId="3" fontId="2" fillId="33" borderId="10" xfId="53" applyNumberFormat="1" applyFont="1" applyFill="1" applyBorder="1" applyAlignment="1" applyProtection="1">
      <alignment horizontal="center"/>
      <protection locked="0"/>
    </xf>
    <xf numFmtId="1" fontId="0" fillId="0" borderId="10" xfId="0" applyNumberFormat="1" applyFont="1" applyBorder="1" applyAlignment="1" applyProtection="1">
      <alignment horizontal="center"/>
      <protection hidden="1"/>
    </xf>
    <xf numFmtId="0" fontId="10" fillId="0" borderId="0" xfId="0" applyFont="1" applyFill="1" applyAlignment="1" applyProtection="1">
      <alignment vertical="top" wrapText="1"/>
      <protection hidden="1"/>
    </xf>
    <xf numFmtId="3" fontId="14" fillId="36" borderId="0" xfId="0" applyNumberFormat="1"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10" fontId="14" fillId="36" borderId="0" xfId="53" applyNumberFormat="1" applyFont="1" applyFill="1" applyBorder="1" applyAlignment="1" applyProtection="1">
      <alignment horizontal="center" vertical="center"/>
      <protection hidden="1"/>
    </xf>
    <xf numFmtId="10" fontId="31" fillId="36" borderId="0" xfId="53" applyNumberFormat="1" applyFont="1" applyFill="1" applyBorder="1" applyAlignment="1" applyProtection="1">
      <alignment horizontal="left" vertical="center"/>
      <protection hidden="1"/>
    </xf>
    <xf numFmtId="0" fontId="0" fillId="0" borderId="0" xfId="0" applyFont="1" applyAlignment="1" applyProtection="1">
      <alignment/>
      <protection hidden="1"/>
    </xf>
    <xf numFmtId="0" fontId="10" fillId="0" borderId="0" xfId="0" applyFont="1" applyAlignment="1" applyProtection="1">
      <alignment/>
      <protection hidden="1"/>
    </xf>
    <xf numFmtId="0" fontId="2" fillId="0" borderId="16"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right" vertical="center" wrapText="1"/>
      <protection hidden="1"/>
    </xf>
    <xf numFmtId="10" fontId="10" fillId="0" borderId="0" xfId="0" applyNumberFormat="1"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2" fillId="0" borderId="19" xfId="0" applyFont="1" applyBorder="1" applyAlignment="1" applyProtection="1">
      <alignment horizontal="left" vertical="center" wrapText="1"/>
      <protection hidden="1"/>
    </xf>
    <xf numFmtId="1" fontId="20" fillId="0" borderId="0" xfId="0" applyNumberFormat="1" applyFont="1" applyBorder="1" applyAlignment="1" applyProtection="1">
      <alignment horizontal="center" vertical="center" wrapText="1"/>
      <protection hidden="1"/>
    </xf>
    <xf numFmtId="0" fontId="2" fillId="0" borderId="10" xfId="0" applyFont="1" applyBorder="1" applyAlignment="1" applyProtection="1">
      <alignment horizontal="left" vertical="center" wrapText="1"/>
      <protection hidden="1"/>
    </xf>
    <xf numFmtId="0" fontId="2" fillId="0" borderId="10" xfId="0" applyFont="1" applyFill="1" applyBorder="1" applyAlignment="1" applyProtection="1">
      <alignment horizontal="left" vertical="center" wrapText="1"/>
      <protection hidden="1"/>
    </xf>
    <xf numFmtId="0" fontId="20" fillId="0" borderId="0"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40" fillId="0" borderId="0"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8" fillId="0" borderId="0" xfId="0" applyFont="1" applyBorder="1" applyAlignment="1" applyProtection="1">
      <alignment horizontal="center" vertical="center" wrapText="1"/>
      <protection hidden="1"/>
    </xf>
    <xf numFmtId="0" fontId="16" fillId="0" borderId="0" xfId="0" applyFont="1" applyAlignment="1" applyProtection="1">
      <alignment horizontal="left" vertical="center"/>
      <protection hidden="1"/>
    </xf>
    <xf numFmtId="0" fontId="38" fillId="0" borderId="0" xfId="0" applyFont="1" applyAlignment="1" applyProtection="1">
      <alignment/>
      <protection hidden="1"/>
    </xf>
    <xf numFmtId="0" fontId="16" fillId="0" borderId="0" xfId="0" applyFont="1" applyAlignment="1" applyProtection="1">
      <alignment/>
      <protection hidden="1"/>
    </xf>
    <xf numFmtId="0" fontId="0" fillId="0" borderId="10" xfId="0" applyFont="1" applyFill="1" applyBorder="1" applyAlignment="1" applyProtection="1">
      <alignment horizontal="left" vertical="center" wrapText="1"/>
      <protection hidden="1"/>
    </xf>
    <xf numFmtId="1" fontId="21" fillId="0" borderId="0" xfId="0" applyNumberFormat="1" applyFont="1" applyBorder="1" applyAlignment="1" applyProtection="1">
      <alignment horizontal="center" vertical="center" wrapText="1"/>
      <protection hidden="1"/>
    </xf>
    <xf numFmtId="1" fontId="19" fillId="36" borderId="10" xfId="0" applyNumberFormat="1" applyFont="1" applyFill="1" applyBorder="1" applyAlignment="1" applyProtection="1">
      <alignment horizontal="center" vertical="center" wrapText="1"/>
      <protection hidden="1"/>
    </xf>
    <xf numFmtId="0" fontId="8" fillId="0" borderId="0" xfId="0" applyFont="1" applyAlignment="1" applyProtection="1">
      <alignment/>
      <protection hidden="1"/>
    </xf>
    <xf numFmtId="0" fontId="16" fillId="0" borderId="0" xfId="0" applyFont="1" applyAlignment="1" applyProtection="1">
      <alignment horizontal="center" vertical="center"/>
      <protection hidden="1"/>
    </xf>
    <xf numFmtId="0" fontId="22" fillId="0" borderId="0" xfId="0" applyNumberFormat="1" applyFont="1" applyAlignment="1" applyProtection="1">
      <alignment horizontal="left" vertical="center"/>
      <protection hidden="1"/>
    </xf>
    <xf numFmtId="0" fontId="16" fillId="0" borderId="0" xfId="0" applyFont="1" applyBorder="1" applyAlignment="1" applyProtection="1">
      <alignment horizontal="center" vertical="center"/>
      <protection hidden="1"/>
    </xf>
    <xf numFmtId="0" fontId="38"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49" fontId="16" fillId="0" borderId="0"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horizontal="center" vertical="center" wrapText="1"/>
      <protection hidden="1"/>
    </xf>
    <xf numFmtId="49" fontId="16" fillId="0" borderId="0" xfId="0" applyNumberFormat="1" applyFont="1" applyBorder="1" applyAlignment="1" applyProtection="1">
      <alignment horizontal="center" vertical="center" wrapText="1"/>
      <protection hidden="1"/>
    </xf>
    <xf numFmtId="0" fontId="43" fillId="0" borderId="0" xfId="0" applyFont="1" applyAlignment="1" applyProtection="1">
      <alignment horizontal="center"/>
      <protection hidden="1"/>
    </xf>
    <xf numFmtId="0" fontId="2" fillId="0" borderId="16" xfId="0" applyFont="1" applyBorder="1" applyAlignment="1" applyProtection="1">
      <alignment/>
      <protection hidden="1"/>
    </xf>
    <xf numFmtId="8" fontId="0" fillId="0" borderId="16" xfId="0" applyNumberFormat="1" applyFont="1" applyFill="1" applyBorder="1" applyAlignment="1" applyProtection="1">
      <alignment horizontal="right"/>
      <protection hidden="1"/>
    </xf>
    <xf numFmtId="8" fontId="0" fillId="0" borderId="15" xfId="0" applyNumberFormat="1" applyFont="1" applyFill="1" applyBorder="1" applyAlignment="1" applyProtection="1">
      <alignment horizontal="center"/>
      <protection hidden="1"/>
    </xf>
    <xf numFmtId="8" fontId="0" fillId="0" borderId="15" xfId="0" applyNumberFormat="1" applyFont="1" applyFill="1" applyBorder="1" applyAlignment="1" applyProtection="1">
      <alignment horizontal="left"/>
      <protection hidden="1"/>
    </xf>
    <xf numFmtId="0" fontId="2" fillId="0" borderId="15" xfId="0" applyFont="1" applyBorder="1" applyAlignment="1" applyProtection="1">
      <alignment horizontal="left"/>
      <protection hidden="1"/>
    </xf>
    <xf numFmtId="0" fontId="2" fillId="0" borderId="18" xfId="0" applyFont="1" applyBorder="1" applyAlignment="1" applyProtection="1">
      <alignment horizontal="left"/>
      <protection hidden="1"/>
    </xf>
    <xf numFmtId="170" fontId="0" fillId="0" borderId="16" xfId="0" applyNumberFormat="1" applyFont="1" applyBorder="1" applyAlignment="1" applyProtection="1">
      <alignment horizontal="right"/>
      <protection hidden="1"/>
    </xf>
    <xf numFmtId="170" fontId="0" fillId="0" borderId="15" xfId="0" applyNumberFormat="1" applyFont="1" applyBorder="1" applyAlignment="1" applyProtection="1">
      <alignment horizontal="center"/>
      <protection hidden="1"/>
    </xf>
    <xf numFmtId="170" fontId="8" fillId="0" borderId="15" xfId="0" applyNumberFormat="1" applyFont="1" applyBorder="1" applyAlignment="1" applyProtection="1">
      <alignment horizontal="left"/>
      <protection hidden="1"/>
    </xf>
    <xf numFmtId="0" fontId="2" fillId="0" borderId="20" xfId="0" applyFont="1" applyBorder="1" applyAlignment="1" applyProtection="1">
      <alignment/>
      <protection hidden="1"/>
    </xf>
    <xf numFmtId="170" fontId="2" fillId="35" borderId="20" xfId="0" applyNumberFormat="1" applyFont="1" applyFill="1" applyBorder="1" applyAlignment="1" applyProtection="1">
      <alignment horizontal="right"/>
      <protection hidden="1"/>
    </xf>
    <xf numFmtId="170" fontId="0" fillId="0" borderId="21" xfId="0" applyNumberFormat="1" applyFont="1" applyBorder="1" applyAlignment="1" applyProtection="1">
      <alignment horizontal="left"/>
      <protection hidden="1"/>
    </xf>
    <xf numFmtId="8" fontId="10" fillId="40" borderId="0" xfId="0" applyNumberFormat="1" applyFont="1" applyFill="1" applyBorder="1" applyAlignment="1" applyProtection="1">
      <alignment horizontal="center"/>
      <protection hidden="1"/>
    </xf>
    <xf numFmtId="8" fontId="0" fillId="0" borderId="0"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10" fillId="40" borderId="0" xfId="0" applyFont="1" applyFill="1" applyBorder="1" applyAlignment="1" applyProtection="1">
      <alignment horizontal="center"/>
      <protection hidden="1"/>
    </xf>
    <xf numFmtId="0" fontId="10" fillId="40" borderId="0" xfId="0" applyFont="1" applyFill="1" applyAlignment="1" applyProtection="1">
      <alignment horizontal="center"/>
      <protection hidden="1"/>
    </xf>
    <xf numFmtId="0" fontId="8" fillId="0" borderId="0" xfId="0" applyFont="1" applyBorder="1" applyAlignment="1" applyProtection="1">
      <alignment horizontal="center" vertical="center" wrapText="1"/>
      <protection hidden="1"/>
    </xf>
    <xf numFmtId="0" fontId="14" fillId="36" borderId="0" xfId="0" applyFont="1" applyFill="1" applyAlignment="1" applyProtection="1">
      <alignment vertical="center"/>
      <protection hidden="1"/>
    </xf>
    <xf numFmtId="0" fontId="31" fillId="36" borderId="0" xfId="0" applyFont="1" applyFill="1" applyAlignment="1" applyProtection="1">
      <alignment vertical="center"/>
      <protection hidden="1"/>
    </xf>
    <xf numFmtId="0" fontId="10" fillId="0" borderId="0" xfId="0" applyFont="1" applyAlignment="1" applyProtection="1">
      <alignment/>
      <protection hidden="1"/>
    </xf>
    <xf numFmtId="0" fontId="42" fillId="0" borderId="0" xfId="0" applyFont="1" applyAlignment="1" applyProtection="1">
      <alignment/>
      <protection hidden="1"/>
    </xf>
    <xf numFmtId="0" fontId="24" fillId="0" borderId="10" xfId="0" applyFont="1" applyFill="1" applyBorder="1" applyAlignment="1" applyProtection="1">
      <alignment horizontal="left" vertical="center" wrapText="1"/>
      <protection hidden="1"/>
    </xf>
    <xf numFmtId="0" fontId="41" fillId="0" borderId="10" xfId="0" applyFont="1" applyFill="1" applyBorder="1" applyAlignment="1" applyProtection="1">
      <alignment horizontal="left" vertical="center" wrapText="1"/>
      <protection hidden="1"/>
    </xf>
    <xf numFmtId="0" fontId="44" fillId="0" borderId="10" xfId="0" applyFont="1" applyFill="1" applyBorder="1" applyAlignment="1" applyProtection="1">
      <alignment horizontal="left" vertical="center" wrapText="1"/>
      <protection hidden="1"/>
    </xf>
    <xf numFmtId="1" fontId="23" fillId="0" borderId="10" xfId="0" applyNumberFormat="1" applyFont="1" applyFill="1" applyBorder="1" applyAlignment="1" applyProtection="1">
      <alignment horizontal="center" vertical="center" wrapText="1"/>
      <protection hidden="1"/>
    </xf>
    <xf numFmtId="0" fontId="16" fillId="0" borderId="16" xfId="0" applyFont="1" applyBorder="1" applyAlignment="1" applyProtection="1">
      <alignment horizontal="left" vertical="center" wrapText="1"/>
      <protection hidden="1"/>
    </xf>
    <xf numFmtId="0" fontId="23" fillId="0" borderId="0" xfId="0" applyFont="1" applyBorder="1" applyAlignment="1" applyProtection="1">
      <alignment horizontal="center" vertical="center" wrapText="1"/>
      <protection hidden="1"/>
    </xf>
    <xf numFmtId="0" fontId="0" fillId="0" borderId="0" xfId="0" applyAlignment="1" applyProtection="1">
      <alignment horizontal="center" wrapText="1"/>
      <protection hidden="1"/>
    </xf>
    <xf numFmtId="0" fontId="0" fillId="0" borderId="10" xfId="0" applyFont="1" applyBorder="1" applyAlignment="1" applyProtection="1">
      <alignment horizontal="left" vertical="center" wrapText="1"/>
      <protection hidden="1"/>
    </xf>
    <xf numFmtId="0" fontId="23" fillId="0" borderId="0" xfId="0" applyFont="1" applyAlignment="1" applyProtection="1">
      <alignment/>
      <protection hidden="1"/>
    </xf>
    <xf numFmtId="0" fontId="19" fillId="0" borderId="0" xfId="0" applyFont="1" applyAlignment="1" applyProtection="1">
      <alignment/>
      <protection hidden="1"/>
    </xf>
    <xf numFmtId="0" fontId="2" fillId="0" borderId="19" xfId="0" applyFont="1" applyFill="1" applyBorder="1" applyAlignment="1" applyProtection="1">
      <alignment/>
      <protection hidden="1"/>
    </xf>
    <xf numFmtId="0" fontId="2" fillId="0" borderId="0" xfId="0" applyFont="1" applyFill="1" applyBorder="1" applyAlignment="1" applyProtection="1">
      <alignment/>
      <protection hidden="1"/>
    </xf>
    <xf numFmtId="10" fontId="2" fillId="0" borderId="0" xfId="53" applyNumberFormat="1" applyFont="1" applyFill="1" applyBorder="1" applyAlignment="1" applyProtection="1">
      <alignment horizontal="center"/>
      <protection hidden="1"/>
    </xf>
    <xf numFmtId="10" fontId="2" fillId="0" borderId="0" xfId="53" applyNumberFormat="1" applyFont="1" applyFill="1" applyBorder="1" applyAlignment="1" applyProtection="1">
      <alignment/>
      <protection hidden="1"/>
    </xf>
    <xf numFmtId="1" fontId="14" fillId="36" borderId="0" xfId="0" applyNumberFormat="1" applyFont="1" applyFill="1" applyBorder="1" applyAlignment="1" applyProtection="1">
      <alignment horizontal="center"/>
      <protection hidden="1"/>
    </xf>
    <xf numFmtId="0" fontId="31" fillId="36" borderId="0" xfId="0" applyFont="1" applyFill="1" applyBorder="1" applyAlignment="1" applyProtection="1">
      <alignment/>
      <protection hidden="1"/>
    </xf>
    <xf numFmtId="0" fontId="25" fillId="0" borderId="0" xfId="0" applyFont="1" applyAlignment="1" applyProtection="1">
      <alignment/>
      <protection hidden="1"/>
    </xf>
    <xf numFmtId="3" fontId="2" fillId="36" borderId="0" xfId="0" applyNumberFormat="1" applyFont="1" applyFill="1" applyBorder="1" applyAlignment="1" applyProtection="1">
      <alignment horizontal="center"/>
      <protection hidden="1"/>
    </xf>
    <xf numFmtId="0" fontId="27" fillId="36" borderId="0" xfId="0" applyFont="1" applyFill="1" applyBorder="1" applyAlignment="1" applyProtection="1">
      <alignment/>
      <protection hidden="1"/>
    </xf>
    <xf numFmtId="10" fontId="14" fillId="36" borderId="0" xfId="53" applyNumberFormat="1" applyFont="1" applyFill="1" applyBorder="1" applyAlignment="1" applyProtection="1">
      <alignment horizontal="center"/>
      <protection hidden="1"/>
    </xf>
    <xf numFmtId="0" fontId="31" fillId="0" borderId="0" xfId="0" applyFont="1" applyFill="1" applyAlignment="1" applyProtection="1">
      <alignment vertical="center"/>
      <protection hidden="1"/>
    </xf>
    <xf numFmtId="0" fontId="16" fillId="0" borderId="0" xfId="0" applyFont="1" applyAlignment="1" applyProtection="1">
      <alignment horizontal="center"/>
      <protection hidden="1"/>
    </xf>
    <xf numFmtId="49" fontId="13" fillId="0" borderId="0" xfId="0" applyNumberFormat="1" applyFont="1" applyFill="1" applyBorder="1" applyAlignment="1" applyProtection="1">
      <alignment horizontal="center" vertical="center" wrapText="1"/>
      <protection hidden="1"/>
    </xf>
    <xf numFmtId="10" fontId="0" fillId="0" borderId="10" xfId="53" applyNumberFormat="1" applyFont="1" applyFill="1" applyBorder="1" applyAlignment="1" applyProtection="1" quotePrefix="1">
      <alignment horizontal="center"/>
      <protection hidden="1"/>
    </xf>
    <xf numFmtId="0" fontId="0" fillId="0" borderId="0" xfId="0" applyFont="1" applyBorder="1" applyAlignment="1" applyProtection="1">
      <alignment horizontal="center"/>
      <protection hidden="1"/>
    </xf>
    <xf numFmtId="3" fontId="0" fillId="0" borderId="0" xfId="0" applyNumberFormat="1" applyFont="1" applyFill="1" applyBorder="1" applyAlignment="1" applyProtection="1">
      <alignment horizontal="center"/>
      <protection hidden="1"/>
    </xf>
    <xf numFmtId="0" fontId="0" fillId="0" borderId="0" xfId="0" applyFont="1" applyBorder="1" applyAlignment="1" applyProtection="1">
      <alignment/>
      <protection hidden="1"/>
    </xf>
    <xf numFmtId="1" fontId="0" fillId="0" borderId="0" xfId="0" applyNumberFormat="1" applyFont="1" applyBorder="1" applyAlignment="1" applyProtection="1">
      <alignment horizontal="center"/>
      <protection hidden="1"/>
    </xf>
    <xf numFmtId="0" fontId="27" fillId="41" borderId="21" xfId="0" applyFont="1" applyFill="1" applyBorder="1" applyAlignment="1" applyProtection="1">
      <alignment horizontal="right"/>
      <protection hidden="1"/>
    </xf>
    <xf numFmtId="0" fontId="27" fillId="41" borderId="21" xfId="0" applyFont="1" applyFill="1" applyBorder="1" applyAlignment="1" applyProtection="1">
      <alignment horizontal="left"/>
      <protection hidden="1"/>
    </xf>
    <xf numFmtId="0" fontId="2" fillId="37" borderId="21" xfId="0" applyFont="1" applyFill="1" applyBorder="1" applyAlignment="1" applyProtection="1">
      <alignment horizontal="center"/>
      <protection hidden="1"/>
    </xf>
    <xf numFmtId="0" fontId="2" fillId="37" borderId="21" xfId="0" applyFont="1" applyFill="1" applyBorder="1" applyAlignment="1" applyProtection="1">
      <alignment horizontal="right"/>
      <protection hidden="1"/>
    </xf>
    <xf numFmtId="0" fontId="0" fillId="33" borderId="22" xfId="0" applyFill="1" applyBorder="1" applyAlignment="1" applyProtection="1">
      <alignment horizontal="center" vertical="center" wrapText="1"/>
      <protection hidden="1"/>
    </xf>
    <xf numFmtId="0" fontId="0" fillId="33" borderId="23" xfId="0" applyFill="1" applyBorder="1" applyAlignment="1" applyProtection="1">
      <alignment/>
      <protection hidden="1"/>
    </xf>
    <xf numFmtId="9" fontId="0" fillId="33" borderId="23" xfId="53" applyFont="1" applyFill="1" applyBorder="1" applyAlignment="1" applyProtection="1">
      <alignment horizontal="center"/>
      <protection hidden="1"/>
    </xf>
    <xf numFmtId="9" fontId="0" fillId="33" borderId="24" xfId="0" applyNumberFormat="1" applyFill="1" applyBorder="1" applyAlignment="1" applyProtection="1">
      <alignment horizontal="center"/>
      <protection hidden="1"/>
    </xf>
    <xf numFmtId="0" fontId="2" fillId="33" borderId="20" xfId="0" applyFont="1" applyFill="1" applyBorder="1" applyAlignment="1" applyProtection="1">
      <alignment horizontal="center"/>
      <protection hidden="1"/>
    </xf>
    <xf numFmtId="0" fontId="2" fillId="33" borderId="21" xfId="0" applyFont="1" applyFill="1" applyBorder="1" applyAlignment="1" applyProtection="1">
      <alignment horizontal="center"/>
      <protection hidden="1"/>
    </xf>
    <xf numFmtId="0" fontId="2" fillId="33" borderId="25" xfId="0" applyFont="1" applyFill="1" applyBorder="1" applyAlignment="1" applyProtection="1">
      <alignment horizontal="center"/>
      <protection hidden="1"/>
    </xf>
    <xf numFmtId="0" fontId="2" fillId="0" borderId="0" xfId="0" applyFont="1" applyAlignment="1" applyProtection="1">
      <alignment horizontal="center"/>
      <protection hidden="1"/>
    </xf>
    <xf numFmtId="0" fontId="2" fillId="33" borderId="0" xfId="0" applyFont="1" applyFill="1" applyBorder="1" applyAlignment="1" applyProtection="1">
      <alignment horizontal="center"/>
      <protection hidden="1"/>
    </xf>
    <xf numFmtId="0" fontId="0" fillId="35" borderId="0" xfId="0" applyFill="1" applyBorder="1" applyAlignment="1" applyProtection="1">
      <alignment horizontal="center" vertical="center" wrapText="1"/>
      <protection hidden="1"/>
    </xf>
    <xf numFmtId="0" fontId="0" fillId="35" borderId="0" xfId="0" applyFill="1" applyBorder="1" applyAlignment="1" applyProtection="1">
      <alignment/>
      <protection hidden="1"/>
    </xf>
    <xf numFmtId="9" fontId="0" fillId="35" borderId="0" xfId="0" applyNumberFormat="1" applyFill="1" applyBorder="1" applyAlignment="1" applyProtection="1">
      <alignment horizontal="center"/>
      <protection hidden="1"/>
    </xf>
    <xf numFmtId="9" fontId="0" fillId="35" borderId="26" xfId="0" applyNumberFormat="1" applyFill="1" applyBorder="1" applyAlignment="1" applyProtection="1">
      <alignment horizontal="center"/>
      <protection hidden="1"/>
    </xf>
    <xf numFmtId="0" fontId="2" fillId="35" borderId="0" xfId="0" applyFont="1" applyFill="1" applyBorder="1" applyAlignment="1" applyProtection="1">
      <alignment horizontal="center" vertical="center" wrapText="1"/>
      <protection hidden="1"/>
    </xf>
    <xf numFmtId="0" fontId="2" fillId="35" borderId="0" xfId="0" applyFont="1" applyFill="1" applyBorder="1" applyAlignment="1" applyProtection="1">
      <alignment horizontal="center"/>
      <protection hidden="1"/>
    </xf>
    <xf numFmtId="0" fontId="2" fillId="35" borderId="26" xfId="0" applyFont="1" applyFill="1" applyBorder="1" applyAlignment="1" applyProtection="1">
      <alignment horizontal="center"/>
      <protection hidden="1"/>
    </xf>
    <xf numFmtId="0" fontId="0" fillId="42" borderId="22" xfId="0" applyFill="1" applyBorder="1" applyAlignment="1" applyProtection="1">
      <alignment horizontal="center" vertical="center" wrapText="1"/>
      <protection hidden="1"/>
    </xf>
    <xf numFmtId="0" fontId="0" fillId="42" borderId="23" xfId="0" applyFill="1" applyBorder="1" applyAlignment="1" applyProtection="1">
      <alignment/>
      <protection hidden="1"/>
    </xf>
    <xf numFmtId="9" fontId="0" fillId="42" borderId="23" xfId="0" applyNumberFormat="1" applyFill="1" applyBorder="1" applyAlignment="1" applyProtection="1">
      <alignment horizontal="center"/>
      <protection hidden="1"/>
    </xf>
    <xf numFmtId="9" fontId="0" fillId="42" borderId="24" xfId="0" applyNumberFormat="1" applyFill="1" applyBorder="1" applyAlignment="1" applyProtection="1">
      <alignment horizontal="center"/>
      <protection hidden="1"/>
    </xf>
    <xf numFmtId="0" fontId="2" fillId="42" borderId="20" xfId="0" applyFont="1" applyFill="1" applyBorder="1" applyAlignment="1" applyProtection="1">
      <alignment horizontal="center"/>
      <protection hidden="1"/>
    </xf>
    <xf numFmtId="0" fontId="2" fillId="42" borderId="21" xfId="0" applyFont="1" applyFill="1" applyBorder="1" applyAlignment="1" applyProtection="1">
      <alignment horizontal="center"/>
      <protection hidden="1"/>
    </xf>
    <xf numFmtId="0" fontId="2" fillId="42" borderId="25" xfId="0" applyFont="1" applyFill="1" applyBorder="1" applyAlignment="1" applyProtection="1">
      <alignment horizontal="center"/>
      <protection hidden="1"/>
    </xf>
    <xf numFmtId="0" fontId="2" fillId="42" borderId="0" xfId="0" applyFont="1" applyFill="1" applyBorder="1" applyAlignment="1" applyProtection="1">
      <alignment horizontal="center"/>
      <protection hidden="1"/>
    </xf>
    <xf numFmtId="0" fontId="0" fillId="38" borderId="0" xfId="0" applyFill="1" applyBorder="1" applyAlignment="1" applyProtection="1">
      <alignment horizontal="center" vertical="center" wrapText="1"/>
      <protection hidden="1"/>
    </xf>
    <xf numFmtId="0" fontId="0" fillId="38" borderId="0" xfId="0" applyFill="1" applyBorder="1" applyAlignment="1" applyProtection="1">
      <alignment/>
      <protection hidden="1"/>
    </xf>
    <xf numFmtId="9" fontId="0" fillId="38" borderId="0" xfId="0" applyNumberFormat="1" applyFill="1" applyBorder="1" applyAlignment="1" applyProtection="1">
      <alignment horizontal="center"/>
      <protection hidden="1"/>
    </xf>
    <xf numFmtId="9" fontId="0" fillId="38" borderId="26" xfId="0" applyNumberFormat="1" applyFill="1" applyBorder="1" applyAlignment="1" applyProtection="1">
      <alignment horizontal="center"/>
      <protection hidden="1"/>
    </xf>
    <xf numFmtId="0" fontId="2" fillId="38" borderId="0" xfId="0" applyFont="1" applyFill="1" applyBorder="1" applyAlignment="1" applyProtection="1">
      <alignment horizontal="center" vertical="center" wrapText="1"/>
      <protection hidden="1"/>
    </xf>
    <xf numFmtId="0" fontId="2" fillId="38" borderId="0" xfId="0" applyFont="1" applyFill="1" applyBorder="1" applyAlignment="1" applyProtection="1">
      <alignment horizontal="center"/>
      <protection hidden="1"/>
    </xf>
    <xf numFmtId="0" fontId="2" fillId="38" borderId="26" xfId="0" applyFont="1" applyFill="1" applyBorder="1" applyAlignment="1" applyProtection="1">
      <alignment horizontal="center"/>
      <protection hidden="1"/>
    </xf>
    <xf numFmtId="0" fontId="0" fillId="43" borderId="22" xfId="0" applyFill="1" applyBorder="1" applyAlignment="1" applyProtection="1">
      <alignment horizontal="center" vertical="center" wrapText="1"/>
      <protection hidden="1"/>
    </xf>
    <xf numFmtId="0" fontId="0" fillId="43" borderId="23" xfId="0" applyFill="1" applyBorder="1" applyAlignment="1" applyProtection="1">
      <alignment/>
      <protection hidden="1"/>
    </xf>
    <xf numFmtId="9" fontId="0" fillId="43" borderId="23" xfId="0" applyNumberFormat="1" applyFill="1" applyBorder="1" applyAlignment="1" applyProtection="1">
      <alignment horizontal="center"/>
      <protection hidden="1"/>
    </xf>
    <xf numFmtId="9" fontId="0" fillId="43" borderId="24" xfId="0" applyNumberFormat="1" applyFill="1" applyBorder="1" applyAlignment="1" applyProtection="1">
      <alignment horizontal="center"/>
      <protection hidden="1"/>
    </xf>
    <xf numFmtId="0" fontId="2" fillId="43" borderId="20" xfId="0" applyFont="1" applyFill="1" applyBorder="1" applyAlignment="1" applyProtection="1">
      <alignment horizontal="center" vertical="center" wrapText="1"/>
      <protection hidden="1"/>
    </xf>
    <xf numFmtId="0" fontId="2" fillId="43" borderId="21" xfId="0" applyFont="1" applyFill="1" applyBorder="1" applyAlignment="1" applyProtection="1">
      <alignment horizontal="center"/>
      <protection hidden="1"/>
    </xf>
    <xf numFmtId="0" fontId="2" fillId="43" borderId="25" xfId="0" applyFont="1" applyFill="1" applyBorder="1" applyAlignment="1" applyProtection="1">
      <alignment horizontal="center"/>
      <protection hidden="1"/>
    </xf>
    <xf numFmtId="0" fontId="2" fillId="43" borderId="0" xfId="0" applyFont="1" applyFill="1" applyBorder="1" applyAlignment="1" applyProtection="1">
      <alignment horizontal="center"/>
      <protection hidden="1"/>
    </xf>
    <xf numFmtId="0" fontId="0" fillId="40" borderId="22" xfId="0" applyFill="1" applyBorder="1" applyAlignment="1" applyProtection="1">
      <alignment horizontal="center" vertical="center" wrapText="1"/>
      <protection hidden="1"/>
    </xf>
    <xf numFmtId="0" fontId="0" fillId="40" borderId="23" xfId="0" applyFill="1" applyBorder="1" applyAlignment="1" applyProtection="1">
      <alignment/>
      <protection hidden="1"/>
    </xf>
    <xf numFmtId="9" fontId="0" fillId="40" borderId="23" xfId="0" applyNumberFormat="1" applyFill="1" applyBorder="1" applyAlignment="1" applyProtection="1">
      <alignment horizontal="center"/>
      <protection hidden="1"/>
    </xf>
    <xf numFmtId="9" fontId="0" fillId="40" borderId="24" xfId="0" applyNumberFormat="1" applyFill="1" applyBorder="1" applyAlignment="1" applyProtection="1">
      <alignment horizontal="center"/>
      <protection hidden="1"/>
    </xf>
    <xf numFmtId="0" fontId="2" fillId="40" borderId="20" xfId="0" applyFont="1" applyFill="1" applyBorder="1" applyAlignment="1" applyProtection="1">
      <alignment horizontal="center"/>
      <protection hidden="1"/>
    </xf>
    <xf numFmtId="0" fontId="2" fillId="40" borderId="21" xfId="0" applyFont="1" applyFill="1" applyBorder="1" applyAlignment="1" applyProtection="1">
      <alignment horizontal="center"/>
      <protection hidden="1"/>
    </xf>
    <xf numFmtId="0" fontId="2" fillId="40" borderId="25" xfId="0" applyFont="1" applyFill="1" applyBorder="1" applyAlignment="1" applyProtection="1">
      <alignment horizontal="center"/>
      <protection hidden="1"/>
    </xf>
    <xf numFmtId="0" fontId="2" fillId="40" borderId="0" xfId="0" applyFont="1" applyFill="1" applyBorder="1" applyAlignment="1" applyProtection="1">
      <alignment horizontal="center"/>
      <protection hidden="1"/>
    </xf>
    <xf numFmtId="0" fontId="2" fillId="37" borderId="21" xfId="0" applyFont="1" applyFill="1" applyBorder="1" applyAlignment="1" applyProtection="1">
      <alignment horizontal="left"/>
      <protection hidden="1"/>
    </xf>
    <xf numFmtId="9" fontId="0" fillId="33" borderId="23" xfId="0" applyNumberFormat="1" applyFont="1" applyFill="1" applyBorder="1" applyAlignment="1" applyProtection="1">
      <alignment horizontal="center"/>
      <protection hidden="1"/>
    </xf>
    <xf numFmtId="9" fontId="0" fillId="33" borderId="24" xfId="0" applyNumberFormat="1" applyFont="1" applyFill="1" applyBorder="1" applyAlignment="1" applyProtection="1">
      <alignment horizontal="center"/>
      <protection hidden="1"/>
    </xf>
    <xf numFmtId="9" fontId="0" fillId="35" borderId="0" xfId="0" applyNumberFormat="1" applyFont="1" applyFill="1" applyBorder="1" applyAlignment="1" applyProtection="1">
      <alignment horizontal="center"/>
      <protection hidden="1"/>
    </xf>
    <xf numFmtId="9" fontId="0" fillId="35" borderId="26" xfId="0" applyNumberFormat="1" applyFont="1" applyFill="1" applyBorder="1" applyAlignment="1" applyProtection="1">
      <alignment horizontal="center"/>
      <protection hidden="1"/>
    </xf>
    <xf numFmtId="9" fontId="0" fillId="42" borderId="23" xfId="0" applyNumberFormat="1" applyFont="1" applyFill="1" applyBorder="1" applyAlignment="1" applyProtection="1">
      <alignment horizontal="center"/>
      <protection hidden="1"/>
    </xf>
    <xf numFmtId="9" fontId="0" fillId="42" borderId="24" xfId="0" applyNumberFormat="1" applyFont="1" applyFill="1" applyBorder="1" applyAlignment="1" applyProtection="1">
      <alignment horizontal="center"/>
      <protection hidden="1"/>
    </xf>
    <xf numFmtId="9" fontId="0" fillId="38" borderId="0" xfId="0" applyNumberFormat="1" applyFont="1" applyFill="1" applyBorder="1" applyAlignment="1" applyProtection="1">
      <alignment horizontal="center"/>
      <protection hidden="1"/>
    </xf>
    <xf numFmtId="9" fontId="0" fillId="38" borderId="26" xfId="0" applyNumberFormat="1" applyFont="1" applyFill="1" applyBorder="1" applyAlignment="1" applyProtection="1">
      <alignment horizontal="center"/>
      <protection hidden="1"/>
    </xf>
    <xf numFmtId="9" fontId="0" fillId="43" borderId="23" xfId="0" applyNumberFormat="1" applyFont="1" applyFill="1" applyBorder="1" applyAlignment="1" applyProtection="1">
      <alignment horizontal="center"/>
      <protection hidden="1"/>
    </xf>
    <xf numFmtId="9" fontId="0" fillId="43" borderId="24" xfId="0" applyNumberFormat="1" applyFont="1" applyFill="1" applyBorder="1" applyAlignment="1" applyProtection="1">
      <alignment horizontal="center"/>
      <protection hidden="1"/>
    </xf>
    <xf numFmtId="9" fontId="0" fillId="40" borderId="23" xfId="0" applyNumberFormat="1" applyFont="1" applyFill="1" applyBorder="1" applyAlignment="1" applyProtection="1">
      <alignment horizontal="center"/>
      <protection hidden="1"/>
    </xf>
    <xf numFmtId="9" fontId="0" fillId="40" borderId="24" xfId="0" applyNumberFormat="1" applyFont="1" applyFill="1" applyBorder="1" applyAlignment="1" applyProtection="1">
      <alignment horizontal="center"/>
      <protection hidden="1"/>
    </xf>
    <xf numFmtId="0" fontId="10" fillId="0" borderId="0" xfId="0" applyFont="1" applyFill="1" applyAlignment="1" applyProtection="1">
      <alignment/>
      <protection hidden="1"/>
    </xf>
    <xf numFmtId="49" fontId="10" fillId="0" borderId="0" xfId="0" applyNumberFormat="1" applyFont="1" applyFill="1" applyBorder="1" applyAlignment="1" applyProtection="1">
      <alignment vertical="center" wrapText="1"/>
      <protection hidden="1"/>
    </xf>
    <xf numFmtId="3" fontId="2" fillId="0" borderId="10" xfId="0" applyNumberFormat="1" applyFont="1" applyFill="1" applyBorder="1" applyAlignment="1" applyProtection="1">
      <alignment horizontal="center"/>
      <protection hidden="1"/>
    </xf>
    <xf numFmtId="0" fontId="0" fillId="0" borderId="0" xfId="0" applyFont="1" applyBorder="1" applyAlignment="1" applyProtection="1">
      <alignment horizontal="right"/>
      <protection hidden="1"/>
    </xf>
    <xf numFmtId="3" fontId="0" fillId="0" borderId="0" xfId="0" applyNumberFormat="1" applyFill="1" applyBorder="1" applyAlignment="1" applyProtection="1">
      <alignment horizontal="center"/>
      <protection hidden="1"/>
    </xf>
    <xf numFmtId="0" fontId="2" fillId="0" borderId="21" xfId="0" applyFont="1" applyBorder="1" applyAlignment="1" applyProtection="1">
      <alignment/>
      <protection hidden="1"/>
    </xf>
    <xf numFmtId="0" fontId="2" fillId="37" borderId="16" xfId="0" applyFont="1" applyFill="1" applyBorder="1" applyAlignment="1" applyProtection="1">
      <alignment/>
      <protection hidden="1"/>
    </xf>
    <xf numFmtId="0" fontId="2" fillId="37" borderId="15" xfId="0" applyFont="1" applyFill="1" applyBorder="1" applyAlignment="1" applyProtection="1">
      <alignment/>
      <protection hidden="1"/>
    </xf>
    <xf numFmtId="0" fontId="2" fillId="37" borderId="18" xfId="0" applyFont="1" applyFill="1" applyBorder="1" applyAlignment="1" applyProtection="1">
      <alignment/>
      <protection hidden="1"/>
    </xf>
    <xf numFmtId="3" fontId="0" fillId="37" borderId="10" xfId="0" applyNumberFormat="1" applyFill="1" applyBorder="1" applyAlignment="1" applyProtection="1">
      <alignment horizontal="center"/>
      <protection hidden="1"/>
    </xf>
    <xf numFmtId="0" fontId="0" fillId="37" borderId="10" xfId="0" applyFill="1" applyBorder="1" applyAlignment="1" applyProtection="1">
      <alignment/>
      <protection hidden="1"/>
    </xf>
    <xf numFmtId="0" fontId="0" fillId="34" borderId="0" xfId="0" applyFill="1" applyBorder="1" applyAlignment="1" applyProtection="1">
      <alignment/>
      <protection hidden="1"/>
    </xf>
    <xf numFmtId="0" fontId="2" fillId="0" borderId="0" xfId="0" applyFont="1" applyFill="1" applyBorder="1" applyAlignment="1" applyProtection="1" quotePrefix="1">
      <alignment horizontal="center"/>
      <protection hidden="1"/>
    </xf>
    <xf numFmtId="0" fontId="2" fillId="38" borderId="16" xfId="0" applyFont="1" applyFill="1" applyBorder="1" applyAlignment="1" applyProtection="1">
      <alignment/>
      <protection hidden="1"/>
    </xf>
    <xf numFmtId="0" fontId="2" fillId="38" borderId="15" xfId="0" applyFont="1" applyFill="1" applyBorder="1" applyAlignment="1" applyProtection="1">
      <alignment/>
      <protection hidden="1"/>
    </xf>
    <xf numFmtId="0" fontId="2" fillId="38" borderId="18" xfId="0" applyFont="1" applyFill="1" applyBorder="1" applyAlignment="1" applyProtection="1">
      <alignment/>
      <protection hidden="1"/>
    </xf>
    <xf numFmtId="0" fontId="2" fillId="38" borderId="27" xfId="0" applyFont="1" applyFill="1" applyBorder="1" applyAlignment="1" applyProtection="1">
      <alignment horizontal="center"/>
      <protection hidden="1"/>
    </xf>
    <xf numFmtId="3" fontId="0" fillId="38" borderId="10" xfId="0" applyNumberFormat="1" applyFill="1" applyBorder="1" applyAlignment="1" applyProtection="1">
      <alignment horizontal="center"/>
      <protection hidden="1"/>
    </xf>
    <xf numFmtId="0" fontId="0" fillId="38" borderId="10" xfId="0" applyFill="1" applyBorder="1" applyAlignment="1" applyProtection="1">
      <alignment/>
      <protection hidden="1"/>
    </xf>
    <xf numFmtId="3" fontId="0" fillId="0" borderId="0" xfId="53" applyNumberFormat="1" applyFont="1" applyAlignment="1" applyProtection="1">
      <alignment horizontal="left" indent="1"/>
      <protection hidden="1"/>
    </xf>
    <xf numFmtId="3" fontId="31" fillId="39" borderId="0" xfId="0" applyNumberFormat="1" applyFont="1" applyFill="1" applyBorder="1" applyAlignment="1" applyProtection="1">
      <alignment horizontal="left" vertical="center" wrapText="1"/>
      <protection hidden="1"/>
    </xf>
    <xf numFmtId="9" fontId="2" fillId="0" borderId="10" xfId="53" applyNumberFormat="1" applyFont="1" applyFill="1" applyBorder="1" applyAlignment="1" applyProtection="1">
      <alignment horizontal="center"/>
      <protection hidden="1"/>
    </xf>
    <xf numFmtId="0" fontId="2" fillId="37" borderId="17" xfId="0" applyFont="1" applyFill="1" applyBorder="1" applyAlignment="1" applyProtection="1">
      <alignment horizontal="center" vertical="top"/>
      <protection hidden="1"/>
    </xf>
    <xf numFmtId="0" fontId="2" fillId="37" borderId="10" xfId="0" applyFont="1" applyFill="1" applyBorder="1" applyAlignment="1" applyProtection="1">
      <alignment horizontal="center" vertical="top" wrapText="1"/>
      <protection hidden="1"/>
    </xf>
    <xf numFmtId="49" fontId="2" fillId="37" borderId="10" xfId="0" applyNumberFormat="1" applyFont="1" applyFill="1" applyBorder="1" applyAlignment="1" applyProtection="1">
      <alignment horizontal="center" vertical="top" wrapText="1"/>
      <protection hidden="1"/>
    </xf>
    <xf numFmtId="0" fontId="2" fillId="37" borderId="10" xfId="0" applyFont="1" applyFill="1" applyBorder="1" applyAlignment="1" applyProtection="1">
      <alignment/>
      <protection hidden="1"/>
    </xf>
    <xf numFmtId="3" fontId="0" fillId="0" borderId="0" xfId="53" applyNumberFormat="1" applyAlignment="1" applyProtection="1">
      <alignment horizontal="left" indent="1"/>
      <protection hidden="1"/>
    </xf>
    <xf numFmtId="0" fontId="12" fillId="0" borderId="0" xfId="0" applyFont="1" applyAlignment="1" applyProtection="1">
      <alignment/>
      <protection hidden="1"/>
    </xf>
    <xf numFmtId="0" fontId="26" fillId="0" borderId="0" xfId="0" applyFont="1" applyBorder="1" applyAlignment="1" applyProtection="1">
      <alignment/>
      <protection hidden="1"/>
    </xf>
    <xf numFmtId="3" fontId="0" fillId="0" borderId="10" xfId="53" applyNumberFormat="1" applyFont="1" applyFill="1" applyBorder="1" applyAlignment="1" applyProtection="1">
      <alignment horizontal="center"/>
      <protection hidden="1"/>
    </xf>
    <xf numFmtId="0" fontId="2" fillId="37" borderId="10" xfId="0" applyFont="1" applyFill="1" applyBorder="1" applyAlignment="1" applyProtection="1">
      <alignment horizontal="center" wrapText="1"/>
      <protection hidden="1"/>
    </xf>
    <xf numFmtId="0" fontId="12" fillId="37" borderId="17" xfId="0" applyFont="1" applyFill="1" applyBorder="1" applyAlignment="1" applyProtection="1">
      <alignment horizontal="center" vertical="top"/>
      <protection hidden="1"/>
    </xf>
    <xf numFmtId="10" fontId="14" fillId="37" borderId="10" xfId="53" applyNumberFormat="1" applyFont="1" applyFill="1" applyBorder="1" applyAlignment="1" applyProtection="1">
      <alignment horizontal="center" vertical="center" wrapText="1"/>
      <protection hidden="1"/>
    </xf>
    <xf numFmtId="0" fontId="0" fillId="37" borderId="10" xfId="0" applyFont="1" applyFill="1" applyBorder="1" applyAlignment="1" applyProtection="1">
      <alignment/>
      <protection hidden="1"/>
    </xf>
    <xf numFmtId="0" fontId="24" fillId="0" borderId="0" xfId="0" applyFont="1" applyAlignment="1" applyProtection="1">
      <alignment vertical="center"/>
      <protection hidden="1"/>
    </xf>
    <xf numFmtId="3" fontId="14" fillId="39" borderId="0" xfId="0" applyNumberFormat="1" applyFont="1" applyFill="1" applyBorder="1" applyAlignment="1" applyProtection="1">
      <alignment horizontal="center" vertical="center" wrapText="1"/>
      <protection hidden="1"/>
    </xf>
    <xf numFmtId="3" fontId="31" fillId="39" borderId="0" xfId="0" applyNumberFormat="1" applyFont="1" applyFill="1" applyBorder="1" applyAlignment="1" applyProtection="1">
      <alignment vertical="center" wrapText="1"/>
      <protection hidden="1"/>
    </xf>
    <xf numFmtId="0" fontId="35" fillId="0" borderId="0" xfId="0" applyFont="1" applyBorder="1" applyAlignment="1" applyProtection="1">
      <alignment/>
      <protection hidden="1"/>
    </xf>
    <xf numFmtId="10" fontId="0" fillId="0" borderId="0" xfId="0" applyNumberFormat="1" applyAlignment="1" applyProtection="1">
      <alignment/>
      <protection hidden="1"/>
    </xf>
    <xf numFmtId="0" fontId="2" fillId="37" borderId="17" xfId="0" applyFont="1" applyFill="1" applyBorder="1" applyAlignment="1" applyProtection="1">
      <alignment horizontal="right" vertical="top"/>
      <protection hidden="1"/>
    </xf>
    <xf numFmtId="0" fontId="2" fillId="37" borderId="10" xfId="0" applyFont="1" applyFill="1" applyBorder="1" applyAlignment="1" applyProtection="1">
      <alignment horizontal="right"/>
      <protection hidden="1"/>
    </xf>
    <xf numFmtId="1" fontId="14" fillId="36" borderId="0" xfId="53" applyNumberFormat="1" applyFont="1" applyFill="1" applyBorder="1" applyAlignment="1" applyProtection="1">
      <alignment horizontal="center" vertical="center"/>
      <protection hidden="1"/>
    </xf>
    <xf numFmtId="10" fontId="31" fillId="36" borderId="0" xfId="53" applyNumberFormat="1" applyFont="1" applyFill="1" applyBorder="1" applyAlignment="1" applyProtection="1">
      <alignment vertical="center"/>
      <protection hidden="1"/>
    </xf>
    <xf numFmtId="3" fontId="2" fillId="36" borderId="0" xfId="0" applyNumberFormat="1" applyFont="1" applyFill="1" applyBorder="1" applyAlignment="1" applyProtection="1">
      <alignment horizontal="center" vertical="center"/>
      <protection hidden="1"/>
    </xf>
    <xf numFmtId="0" fontId="27" fillId="36" borderId="0" xfId="0" applyFont="1" applyFill="1" applyBorder="1" applyAlignment="1" applyProtection="1">
      <alignment vertical="center"/>
      <protection hidden="1"/>
    </xf>
    <xf numFmtId="0" fontId="0" fillId="0" borderId="28"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9" xfId="0" applyBorder="1" applyAlignment="1" applyProtection="1">
      <alignment/>
      <protection hidden="1"/>
    </xf>
    <xf numFmtId="0" fontId="0" fillId="35" borderId="28" xfId="0" applyFill="1" applyBorder="1" applyAlignment="1" applyProtection="1">
      <alignment horizontal="center" vertical="center" wrapText="1"/>
      <protection hidden="1"/>
    </xf>
    <xf numFmtId="0" fontId="0" fillId="35" borderId="29" xfId="0"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7" fillId="34" borderId="0"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1" fontId="10" fillId="0" borderId="10" xfId="0" applyNumberFormat="1" applyFont="1" applyFill="1" applyBorder="1" applyAlignment="1" applyProtection="1">
      <alignment horizontal="center" vertical="center" wrapText="1"/>
      <protection hidden="1"/>
    </xf>
    <xf numFmtId="10" fontId="10" fillId="0" borderId="10" xfId="0" applyNumberFormat="1" applyFont="1" applyFill="1" applyBorder="1" applyAlignment="1" applyProtection="1">
      <alignment horizontal="center" vertical="center" wrapText="1"/>
      <protection hidden="1"/>
    </xf>
    <xf numFmtId="0" fontId="54" fillId="34" borderId="0" xfId="0" applyFont="1" applyFill="1" applyBorder="1" applyAlignment="1" applyProtection="1">
      <alignment horizontal="center" vertical="center" wrapText="1"/>
      <protection hidden="1"/>
    </xf>
    <xf numFmtId="0" fontId="26" fillId="34" borderId="0" xfId="0" applyFont="1" applyFill="1" applyBorder="1" applyAlignment="1" applyProtection="1">
      <alignment horizontal="center" vertical="center" wrapText="1"/>
      <protection hidden="1"/>
    </xf>
    <xf numFmtId="10" fontId="54" fillId="34" borderId="0" xfId="0" applyNumberFormat="1" applyFont="1" applyFill="1" applyBorder="1" applyAlignment="1" applyProtection="1">
      <alignment vertical="center" wrapText="1"/>
      <protection hidden="1"/>
    </xf>
    <xf numFmtId="2" fontId="54" fillId="34" borderId="0" xfId="0" applyNumberFormat="1" applyFont="1" applyFill="1" applyBorder="1" applyAlignment="1" applyProtection="1">
      <alignment vertical="center" wrapText="1"/>
      <protection hidden="1"/>
    </xf>
    <xf numFmtId="3" fontId="31" fillId="34" borderId="0" xfId="0" applyNumberFormat="1" applyFont="1" applyFill="1" applyBorder="1" applyAlignment="1" applyProtection="1">
      <alignment vertical="center" wrapText="1"/>
      <protection hidden="1"/>
    </xf>
    <xf numFmtId="0" fontId="45" fillId="0" borderId="0" xfId="0" applyFont="1" applyAlignment="1" applyProtection="1">
      <alignment vertical="center"/>
      <protection hidden="1"/>
    </xf>
    <xf numFmtId="0" fontId="51" fillId="36" borderId="0" xfId="0" applyFont="1" applyFill="1" applyBorder="1" applyAlignment="1" applyProtection="1">
      <alignment/>
      <protection hidden="1"/>
    </xf>
    <xf numFmtId="0" fontId="52" fillId="36" borderId="0" xfId="0" applyFont="1" applyFill="1" applyBorder="1" applyAlignment="1" applyProtection="1">
      <alignment horizontal="left" vertical="center"/>
      <protection hidden="1"/>
    </xf>
    <xf numFmtId="0" fontId="51" fillId="36" borderId="0" xfId="0" applyFont="1" applyFill="1" applyBorder="1" applyAlignment="1" applyProtection="1">
      <alignment horizontal="center" vertical="center"/>
      <protection hidden="1"/>
    </xf>
    <xf numFmtId="0" fontId="52" fillId="36" borderId="0" xfId="0" applyFont="1" applyFill="1" applyBorder="1" applyAlignment="1" applyProtection="1">
      <alignment horizontal="right" vertical="center"/>
      <protection hidden="1"/>
    </xf>
    <xf numFmtId="0" fontId="51" fillId="36" borderId="0" xfId="0" applyFont="1" applyFill="1" applyBorder="1" applyAlignment="1" applyProtection="1">
      <alignment vertical="center"/>
      <protection hidden="1"/>
    </xf>
    <xf numFmtId="0" fontId="10" fillId="0" borderId="0" xfId="0" applyFont="1" applyAlignment="1" applyProtection="1">
      <alignment vertical="center"/>
      <protection hidden="1"/>
    </xf>
    <xf numFmtId="0" fontId="25" fillId="0" borderId="0" xfId="0" applyFont="1" applyFill="1" applyAlignment="1" applyProtection="1">
      <alignment horizontal="left" wrapText="1"/>
      <protection hidden="1"/>
    </xf>
    <xf numFmtId="0" fontId="2" fillId="0" borderId="0" xfId="0" applyFont="1" applyFill="1" applyAlignment="1" applyProtection="1">
      <alignment horizontal="left" vertical="center" wrapText="1"/>
      <protection hidden="1"/>
    </xf>
    <xf numFmtId="0" fontId="0" fillId="0" borderId="0" xfId="0" applyAlignment="1" applyProtection="1">
      <alignment horizontal="left" vertical="center" wrapText="1"/>
      <protection hidden="1"/>
    </xf>
    <xf numFmtId="3" fontId="2" fillId="0" borderId="10" xfId="0" applyNumberFormat="1" applyFont="1" applyFill="1" applyBorder="1" applyAlignment="1" applyProtection="1">
      <alignment horizontal="right" vertical="center" wrapText="1"/>
      <protection hidden="1"/>
    </xf>
    <xf numFmtId="168" fontId="25" fillId="0" borderId="10" xfId="0" applyNumberFormat="1" applyFont="1" applyFill="1" applyBorder="1" applyAlignment="1" applyProtection="1">
      <alignment horizontal="center" vertical="center" wrapText="1"/>
      <protection hidden="1"/>
    </xf>
    <xf numFmtId="3" fontId="0" fillId="0" borderId="0" xfId="0" applyNumberFormat="1" applyAlignment="1" applyProtection="1">
      <alignment horizontal="center" vertical="center" wrapText="1"/>
      <protection hidden="1"/>
    </xf>
    <xf numFmtId="3" fontId="10" fillId="0" borderId="10" xfId="0" applyNumberFormat="1" applyFont="1" applyFill="1" applyBorder="1" applyAlignment="1" applyProtection="1">
      <alignment horizontal="center" vertical="center" wrapText="1"/>
      <protection hidden="1"/>
    </xf>
    <xf numFmtId="49" fontId="0" fillId="0" borderId="0" xfId="0" applyNumberFormat="1" applyAlignment="1" applyProtection="1">
      <alignment horizontal="left" vertical="center" wrapText="1"/>
      <protection hidden="1"/>
    </xf>
    <xf numFmtId="49" fontId="0" fillId="0" borderId="0" xfId="0" applyNumberFormat="1" applyBorder="1" applyAlignment="1" applyProtection="1">
      <alignment horizontal="left" vertical="center" wrapText="1"/>
      <protection hidden="1"/>
    </xf>
    <xf numFmtId="0" fontId="0" fillId="0" borderId="0" xfId="0" applyBorder="1" applyAlignment="1" applyProtection="1">
      <alignment horizontal="right"/>
      <protection hidden="1"/>
    </xf>
    <xf numFmtId="0" fontId="0" fillId="0" borderId="0" xfId="0" applyBorder="1" applyAlignment="1" applyProtection="1">
      <alignment/>
      <protection hidden="1"/>
    </xf>
    <xf numFmtId="10" fontId="2" fillId="0" borderId="10" xfId="53" applyNumberFormat="1" applyFont="1" applyFill="1" applyBorder="1" applyAlignment="1" applyProtection="1">
      <alignment horizontal="center"/>
      <protection hidden="1"/>
    </xf>
    <xf numFmtId="10" fontId="14" fillId="37" borderId="10" xfId="0" applyNumberFormat="1" applyFont="1" applyFill="1" applyBorder="1" applyAlignment="1" applyProtection="1">
      <alignment horizontal="center" vertical="center" wrapText="1"/>
      <protection hidden="1"/>
    </xf>
    <xf numFmtId="0" fontId="64" fillId="0" borderId="0" xfId="0" applyFont="1" applyAlignment="1" applyProtection="1">
      <alignment wrapText="1"/>
      <protection hidden="1"/>
    </xf>
    <xf numFmtId="0" fontId="9" fillId="0" borderId="0" xfId="0" applyFont="1" applyAlignment="1" applyProtection="1">
      <alignment wrapText="1"/>
      <protection hidden="1"/>
    </xf>
    <xf numFmtId="3" fontId="2" fillId="40" borderId="14" xfId="0" applyNumberFormat="1" applyFont="1" applyFill="1" applyBorder="1" applyAlignment="1" applyProtection="1">
      <alignment horizontal="center" vertical="center" wrapText="1"/>
      <protection hidden="1"/>
    </xf>
    <xf numFmtId="3" fontId="41" fillId="40" borderId="14" xfId="0" applyNumberFormat="1" applyFont="1" applyFill="1" applyBorder="1" applyAlignment="1" applyProtection="1">
      <alignment horizontal="center" vertical="center" wrapText="1"/>
      <protection hidden="1"/>
    </xf>
    <xf numFmtId="9" fontId="42" fillId="40" borderId="10" xfId="0" applyNumberFormat="1" applyFont="1" applyFill="1" applyBorder="1" applyAlignment="1" applyProtection="1">
      <alignment horizontal="center" vertical="center" wrapText="1"/>
      <protection hidden="1"/>
    </xf>
    <xf numFmtId="9" fontId="42" fillId="40" borderId="30" xfId="0" applyNumberFormat="1" applyFont="1" applyFill="1" applyBorder="1" applyAlignment="1" applyProtection="1">
      <alignment horizontal="center" vertical="center" wrapText="1"/>
      <protection hidden="1"/>
    </xf>
    <xf numFmtId="3" fontId="2" fillId="34" borderId="31" xfId="0" applyNumberFormat="1" applyFont="1" applyFill="1" applyBorder="1" applyAlignment="1" applyProtection="1">
      <alignment horizontal="center" vertical="center" wrapText="1"/>
      <protection hidden="1"/>
    </xf>
    <xf numFmtId="3" fontId="2" fillId="34" borderId="0" xfId="0" applyNumberFormat="1" applyFont="1" applyFill="1" applyBorder="1" applyAlignment="1" applyProtection="1">
      <alignment horizontal="center" vertical="center" wrapText="1"/>
      <protection hidden="1"/>
    </xf>
    <xf numFmtId="3" fontId="0" fillId="0" borderId="0" xfId="0" applyNumberFormat="1" applyFont="1" applyFill="1" applyBorder="1" applyAlignment="1" applyProtection="1">
      <alignment horizontal="center" vertical="center" wrapText="1"/>
      <protection locked="0"/>
    </xf>
    <xf numFmtId="9" fontId="11" fillId="0" borderId="0" xfId="0" applyNumberFormat="1" applyFont="1" applyFill="1" applyBorder="1" applyAlignment="1" applyProtection="1">
      <alignment horizontal="center" vertical="center" wrapText="1"/>
      <protection hidden="1"/>
    </xf>
    <xf numFmtId="3" fontId="42" fillId="40" borderId="10" xfId="0" applyNumberFormat="1" applyFont="1" applyFill="1" applyBorder="1" applyAlignment="1" applyProtection="1">
      <alignment horizontal="center" vertical="center" wrapText="1"/>
      <protection hidden="1"/>
    </xf>
    <xf numFmtId="3" fontId="42" fillId="33" borderId="10" xfId="0" applyNumberFormat="1" applyFont="1" applyFill="1" applyBorder="1" applyAlignment="1" applyProtection="1">
      <alignment horizontal="center" vertical="center" wrapText="1"/>
      <protection locked="0"/>
    </xf>
    <xf numFmtId="9" fontId="42" fillId="34" borderId="10" xfId="0" applyNumberFormat="1" applyFont="1" applyFill="1" applyBorder="1" applyAlignment="1" applyProtection="1">
      <alignment horizontal="center" vertical="center" wrapText="1"/>
      <protection hidden="1"/>
    </xf>
    <xf numFmtId="9" fontId="42" fillId="34" borderId="30" xfId="0" applyNumberFormat="1" applyFont="1" applyFill="1" applyBorder="1" applyAlignment="1" applyProtection="1">
      <alignment horizontal="center" vertical="center" wrapText="1"/>
      <protection hidden="1"/>
    </xf>
    <xf numFmtId="3" fontId="10" fillId="33" borderId="10" xfId="0" applyNumberFormat="1" applyFont="1" applyFill="1" applyBorder="1" applyAlignment="1" applyProtection="1">
      <alignment horizontal="center" vertical="center" wrapText="1"/>
      <protection locked="0"/>
    </xf>
    <xf numFmtId="9" fontId="10" fillId="34" borderId="10" xfId="0" applyNumberFormat="1" applyFont="1" applyFill="1" applyBorder="1" applyAlignment="1" applyProtection="1">
      <alignment horizontal="center" vertical="center" wrapText="1"/>
      <protection hidden="1"/>
    </xf>
    <xf numFmtId="9" fontId="10" fillId="34" borderId="30" xfId="0" applyNumberFormat="1" applyFont="1" applyFill="1" applyBorder="1" applyAlignment="1" applyProtection="1">
      <alignment horizontal="center" vertical="center" wrapText="1"/>
      <protection hidden="1"/>
    </xf>
    <xf numFmtId="3" fontId="42" fillId="33" borderId="32" xfId="0" applyNumberFormat="1" applyFont="1" applyFill="1" applyBorder="1" applyAlignment="1" applyProtection="1">
      <alignment horizontal="center" vertical="center" wrapText="1"/>
      <protection locked="0"/>
    </xf>
    <xf numFmtId="9" fontId="42" fillId="34" borderId="33" xfId="0" applyNumberFormat="1" applyFont="1" applyFill="1" applyBorder="1" applyAlignment="1" applyProtection="1">
      <alignment horizontal="center" vertical="center" wrapText="1"/>
      <protection hidden="1"/>
    </xf>
    <xf numFmtId="9" fontId="42" fillId="34" borderId="34" xfId="0" applyNumberFormat="1" applyFont="1" applyFill="1" applyBorder="1" applyAlignment="1" applyProtection="1">
      <alignment horizontal="center" vertical="center" wrapText="1"/>
      <protection hidden="1"/>
    </xf>
    <xf numFmtId="168" fontId="10" fillId="0" borderId="10" xfId="0" applyNumberFormat="1" applyFont="1" applyFill="1" applyBorder="1" applyAlignment="1" applyProtection="1">
      <alignment horizontal="right" vertical="center" wrapText="1"/>
      <protection hidden="1"/>
    </xf>
    <xf numFmtId="1" fontId="23" fillId="33" borderId="16" xfId="0" applyNumberFormat="1" applyFont="1" applyFill="1" applyBorder="1" applyAlignment="1" applyProtection="1">
      <alignment horizontal="center" vertical="center" wrapText="1"/>
      <protection locked="0"/>
    </xf>
    <xf numFmtId="9" fontId="2" fillId="44" borderId="35" xfId="53" applyFont="1" applyFill="1" applyBorder="1" applyAlignment="1" applyProtection="1">
      <alignment horizontal="center" vertical="center" wrapText="1"/>
      <protection hidden="1"/>
    </xf>
    <xf numFmtId="0" fontId="14" fillId="36" borderId="0" xfId="0" applyNumberFormat="1" applyFont="1" applyFill="1" applyBorder="1" applyAlignment="1" applyProtection="1">
      <alignment horizontal="center" vertical="center"/>
      <protection hidden="1"/>
    </xf>
    <xf numFmtId="0" fontId="63" fillId="0" borderId="0" xfId="0" applyFont="1" applyAlignment="1">
      <alignment wrapText="1"/>
    </xf>
    <xf numFmtId="0" fontId="54" fillId="34" borderId="0" xfId="0" applyFont="1" applyFill="1" applyBorder="1" applyAlignment="1" applyProtection="1">
      <alignment horizontal="center" vertical="top" wrapText="1"/>
      <protection hidden="1"/>
    </xf>
    <xf numFmtId="0" fontId="62" fillId="0" borderId="0" xfId="0" applyFont="1" applyBorder="1" applyAlignment="1" applyProtection="1">
      <alignment vertical="center" wrapText="1"/>
      <protection hidden="1"/>
    </xf>
    <xf numFmtId="0" fontId="12" fillId="0" borderId="0" xfId="0" applyFont="1" applyAlignment="1" applyProtection="1">
      <alignment wrapText="1"/>
      <protection hidden="1"/>
    </xf>
    <xf numFmtId="3" fontId="42" fillId="40" borderId="10" xfId="0" applyNumberFormat="1" applyFont="1" applyFill="1" applyBorder="1" applyAlignment="1" applyProtection="1">
      <alignment horizontal="center" vertical="center"/>
      <protection hidden="1"/>
    </xf>
    <xf numFmtId="166" fontId="42" fillId="40" borderId="10" xfId="0" applyNumberFormat="1" applyFont="1" applyFill="1" applyBorder="1" applyAlignment="1" applyProtection="1">
      <alignment horizontal="center" vertical="center"/>
      <protection hidden="1"/>
    </xf>
    <xf numFmtId="166" fontId="42" fillId="40" borderId="3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wrapText="1"/>
      <protection hidden="1"/>
    </xf>
    <xf numFmtId="1" fontId="23" fillId="45" borderId="0" xfId="0" applyNumberFormat="1" applyFont="1" applyFill="1" applyBorder="1" applyAlignment="1" applyProtection="1">
      <alignment horizontal="center" vertical="center" wrapText="1"/>
      <protection locked="0"/>
    </xf>
    <xf numFmtId="1" fontId="20" fillId="45" borderId="0" xfId="0" applyNumberFormat="1" applyFont="1" applyFill="1" applyBorder="1" applyAlignment="1" applyProtection="1">
      <alignment horizontal="center" vertical="center" wrapText="1"/>
      <protection hidden="1"/>
    </xf>
    <xf numFmtId="0" fontId="2" fillId="37" borderId="17" xfId="0" applyFont="1" applyFill="1" applyBorder="1" applyAlignment="1" applyProtection="1">
      <alignment horizontal="center" vertical="center"/>
      <protection hidden="1"/>
    </xf>
    <xf numFmtId="0" fontId="12" fillId="0" borderId="0" xfId="0" applyFont="1" applyAlignment="1" applyProtection="1">
      <alignment vertical="center" wrapText="1"/>
      <protection hidden="1"/>
    </xf>
    <xf numFmtId="0" fontId="28"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0" fillId="0" borderId="36" xfId="0" applyBorder="1" applyAlignment="1" applyProtection="1">
      <alignment/>
      <protection hidden="1"/>
    </xf>
    <xf numFmtId="166" fontId="13" fillId="0" borderId="10" xfId="53" applyNumberFormat="1" applyFont="1" applyFill="1" applyBorder="1" applyAlignment="1" applyProtection="1">
      <alignment horizontal="center" vertical="center" wrapText="1"/>
      <protection hidden="1"/>
    </xf>
    <xf numFmtId="0" fontId="0" fillId="0" borderId="21" xfId="0" applyBorder="1" applyAlignment="1" applyProtection="1">
      <alignment horizontal="center"/>
      <protection hidden="1"/>
    </xf>
    <xf numFmtId="0" fontId="0" fillId="0" borderId="0" xfId="0" applyAlignment="1" applyProtection="1">
      <alignment horizontal="center"/>
      <protection hidden="1"/>
    </xf>
    <xf numFmtId="0" fontId="4" fillId="35" borderId="37" xfId="0" applyFont="1" applyFill="1" applyBorder="1" applyAlignment="1" applyProtection="1">
      <alignment horizontal="center" vertical="center"/>
      <protection hidden="1"/>
    </xf>
    <xf numFmtId="0" fontId="4" fillId="35" borderId="38" xfId="0" applyFont="1" applyFill="1" applyBorder="1" applyAlignment="1" applyProtection="1">
      <alignment horizontal="center" vertical="center"/>
      <protection hidden="1"/>
    </xf>
    <xf numFmtId="0" fontId="4" fillId="35" borderId="39" xfId="0" applyFont="1" applyFill="1" applyBorder="1" applyAlignment="1" applyProtection="1">
      <alignment horizontal="center" vertical="center"/>
      <protection hidden="1"/>
    </xf>
    <xf numFmtId="0" fontId="4" fillId="35" borderId="40" xfId="0" applyFont="1" applyFill="1" applyBorder="1" applyAlignment="1" applyProtection="1">
      <alignment horizontal="center" vertical="center"/>
      <protection hidden="1"/>
    </xf>
    <xf numFmtId="0" fontId="4" fillId="35" borderId="41" xfId="0" applyFont="1" applyFill="1" applyBorder="1" applyAlignment="1" applyProtection="1">
      <alignment horizontal="center" vertical="center"/>
      <protection hidden="1"/>
    </xf>
    <xf numFmtId="0" fontId="4" fillId="35" borderId="42" xfId="0" applyFont="1" applyFill="1" applyBorder="1" applyAlignment="1" applyProtection="1">
      <alignment horizontal="center" vertical="center"/>
      <protection hidden="1"/>
    </xf>
    <xf numFmtId="0" fontId="12" fillId="35" borderId="43" xfId="0" applyFont="1" applyFill="1" applyBorder="1" applyAlignment="1" applyProtection="1">
      <alignment horizontal="center" wrapText="1"/>
      <protection hidden="1"/>
    </xf>
    <xf numFmtId="0" fontId="2" fillId="35" borderId="44" xfId="0" applyFont="1" applyFill="1" applyBorder="1" applyAlignment="1" applyProtection="1">
      <alignment horizontal="center" wrapText="1"/>
      <protection hidden="1"/>
    </xf>
    <xf numFmtId="0" fontId="2" fillId="35" borderId="45" xfId="0" applyFont="1" applyFill="1" applyBorder="1" applyAlignment="1" applyProtection="1">
      <alignment horizontal="center" wrapText="1"/>
      <protection hidden="1"/>
    </xf>
    <xf numFmtId="49" fontId="30" fillId="34" borderId="46" xfId="0" applyNumberFormat="1" applyFont="1" applyFill="1" applyBorder="1" applyAlignment="1" applyProtection="1">
      <alignment horizontal="center" vertical="center" wrapText="1"/>
      <protection hidden="1"/>
    </xf>
    <xf numFmtId="49" fontId="10" fillId="34" borderId="47" xfId="0" applyNumberFormat="1" applyFont="1" applyFill="1" applyBorder="1" applyAlignment="1" applyProtection="1">
      <alignment horizontal="center" vertical="center" wrapText="1"/>
      <protection hidden="1"/>
    </xf>
    <xf numFmtId="49" fontId="10" fillId="34" borderId="48" xfId="0" applyNumberFormat="1"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29" fillId="35" borderId="0" xfId="45" applyFont="1" applyFill="1" applyAlignment="1" applyProtection="1">
      <alignment horizontal="center" vertical="center" wrapText="1"/>
      <protection hidden="1"/>
    </xf>
    <xf numFmtId="0" fontId="31" fillId="46" borderId="0" xfId="0" applyFont="1" applyFill="1" applyAlignment="1" applyProtection="1">
      <alignment horizontal="center" vertical="center"/>
      <protection hidden="1"/>
    </xf>
    <xf numFmtId="0" fontId="2" fillId="35" borderId="37" xfId="0" applyFont="1" applyFill="1" applyBorder="1" applyAlignment="1" applyProtection="1">
      <alignment horizontal="center" vertical="center"/>
      <protection hidden="1"/>
    </xf>
    <xf numFmtId="0" fontId="2" fillId="35" borderId="38" xfId="0" applyFont="1" applyFill="1" applyBorder="1" applyAlignment="1" applyProtection="1">
      <alignment horizontal="center" vertical="center"/>
      <protection hidden="1"/>
    </xf>
    <xf numFmtId="0" fontId="2" fillId="35" borderId="39" xfId="0" applyFont="1" applyFill="1" applyBorder="1" applyAlignment="1" applyProtection="1">
      <alignment horizontal="center" vertical="center"/>
      <protection hidden="1"/>
    </xf>
    <xf numFmtId="0" fontId="2" fillId="35" borderId="49" xfId="0" applyFont="1" applyFill="1" applyBorder="1" applyAlignment="1" applyProtection="1">
      <alignment horizontal="center" vertical="center"/>
      <protection hidden="1"/>
    </xf>
    <xf numFmtId="0" fontId="2" fillId="35" borderId="0" xfId="0" applyFont="1" applyFill="1" applyBorder="1" applyAlignment="1" applyProtection="1">
      <alignment horizontal="center" vertical="center"/>
      <protection hidden="1"/>
    </xf>
    <xf numFmtId="0" fontId="2" fillId="35" borderId="50" xfId="0" applyFont="1" applyFill="1" applyBorder="1" applyAlignment="1" applyProtection="1">
      <alignment horizontal="center" vertical="center"/>
      <protection hidden="1"/>
    </xf>
    <xf numFmtId="0" fontId="2" fillId="35" borderId="40" xfId="0" applyFont="1" applyFill="1" applyBorder="1" applyAlignment="1" applyProtection="1">
      <alignment horizontal="center" vertical="center"/>
      <protection hidden="1"/>
    </xf>
    <xf numFmtId="0" fontId="2" fillId="35" borderId="41" xfId="0" applyFont="1" applyFill="1" applyBorder="1" applyAlignment="1" applyProtection="1">
      <alignment horizontal="center" vertical="center"/>
      <protection hidden="1"/>
    </xf>
    <xf numFmtId="0" fontId="2" fillId="35" borderId="42"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59" fillId="0" borderId="0" xfId="0" applyFont="1" applyAlignment="1" applyProtection="1">
      <alignment horizontal="center" wrapText="1"/>
      <protection hidden="1"/>
    </xf>
    <xf numFmtId="0" fontId="0" fillId="0" borderId="0" xfId="0" applyAlignment="1" applyProtection="1" quotePrefix="1">
      <alignment horizontal="center"/>
      <protection hidden="1"/>
    </xf>
    <xf numFmtId="0" fontId="2" fillId="0" borderId="0" xfId="0" applyFont="1" applyAlignment="1" applyProtection="1">
      <alignment vertical="top" wrapText="1"/>
      <protection hidden="1"/>
    </xf>
    <xf numFmtId="0" fontId="0" fillId="0" borderId="0" xfId="0" applyAlignment="1" applyProtection="1">
      <alignment vertical="top" wrapText="1"/>
      <protection hidden="1"/>
    </xf>
    <xf numFmtId="3" fontId="14" fillId="33" borderId="51" xfId="0" applyNumberFormat="1" applyFont="1" applyFill="1" applyBorder="1" applyAlignment="1" applyProtection="1">
      <alignment horizontal="center" vertical="center" wrapText="1"/>
      <protection hidden="1"/>
    </xf>
    <xf numFmtId="0" fontId="6" fillId="0" borderId="52" xfId="45" applyBorder="1" applyAlignment="1" applyProtection="1">
      <alignment horizontal="center" vertical="center" wrapText="1"/>
      <protection hidden="1"/>
    </xf>
    <xf numFmtId="0" fontId="6" fillId="0" borderId="53" xfId="45" applyBorder="1" applyAlignment="1" applyProtection="1">
      <alignment horizontal="center" vertical="center" wrapText="1"/>
      <protection hidden="1"/>
    </xf>
    <xf numFmtId="0" fontId="6" fillId="0" borderId="54" xfId="45" applyBorder="1" applyAlignment="1" applyProtection="1">
      <alignment horizontal="center" vertical="center" wrapText="1"/>
      <protection hidden="1"/>
    </xf>
    <xf numFmtId="0" fontId="31" fillId="38" borderId="0" xfId="0" applyFont="1" applyFill="1" applyAlignment="1" applyProtection="1">
      <alignment horizontal="center" vertical="center" wrapText="1"/>
      <protection hidden="1"/>
    </xf>
    <xf numFmtId="0" fontId="31" fillId="38" borderId="0" xfId="0" applyFont="1" applyFill="1" applyAlignment="1" applyProtection="1">
      <alignment horizontal="center" vertical="center"/>
      <protection hidden="1"/>
    </xf>
    <xf numFmtId="3" fontId="14" fillId="33" borderId="55" xfId="0" applyNumberFormat="1" applyFont="1" applyFill="1" applyBorder="1" applyAlignment="1" applyProtection="1">
      <alignment horizontal="center" vertical="center" wrapText="1"/>
      <protection hidden="1"/>
    </xf>
    <xf numFmtId="0" fontId="2" fillId="0" borderId="56" xfId="0" applyFont="1" applyBorder="1" applyAlignment="1" applyProtection="1">
      <alignment horizontal="left" vertical="top" wrapText="1"/>
      <protection hidden="1"/>
    </xf>
    <xf numFmtId="0" fontId="2" fillId="0" borderId="57" xfId="0" applyFont="1" applyBorder="1" applyAlignment="1" applyProtection="1">
      <alignment horizontal="left" vertical="top" wrapText="1"/>
      <protection hidden="1"/>
    </xf>
    <xf numFmtId="0" fontId="2" fillId="0" borderId="58" xfId="0" applyFont="1" applyBorder="1" applyAlignment="1" applyProtection="1">
      <alignment horizontal="left" vertical="top" wrapText="1"/>
      <protection hidden="1"/>
    </xf>
    <xf numFmtId="0" fontId="2" fillId="0" borderId="59"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60" xfId="0" applyFont="1" applyBorder="1" applyAlignment="1" applyProtection="1">
      <alignment horizontal="left" vertical="top" wrapText="1"/>
      <protection hidden="1"/>
    </xf>
    <xf numFmtId="0" fontId="2" fillId="0" borderId="61" xfId="0" applyFont="1" applyBorder="1" applyAlignment="1" applyProtection="1">
      <alignment horizontal="left" vertical="top" wrapText="1"/>
      <protection hidden="1"/>
    </xf>
    <xf numFmtId="0" fontId="2" fillId="0" borderId="36" xfId="0" applyFont="1" applyBorder="1" applyAlignment="1" applyProtection="1">
      <alignment horizontal="left" vertical="top" wrapText="1"/>
      <protection hidden="1"/>
    </xf>
    <xf numFmtId="0" fontId="2" fillId="0" borderId="62" xfId="0" applyFont="1" applyBorder="1" applyAlignment="1" applyProtection="1">
      <alignment horizontal="left" vertical="top" wrapText="1"/>
      <protection hidden="1"/>
    </xf>
    <xf numFmtId="0" fontId="8" fillId="0" borderId="63" xfId="0" applyFont="1" applyBorder="1" applyAlignment="1" applyProtection="1">
      <alignment horizontal="left" vertical="top" wrapText="1"/>
      <protection hidden="1"/>
    </xf>
    <xf numFmtId="0" fontId="28"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10" fillId="0" borderId="0" xfId="0" applyFont="1" applyBorder="1" applyAlignment="1" applyProtection="1">
      <alignment horizontal="center" wrapText="1"/>
      <protection hidden="1"/>
    </xf>
    <xf numFmtId="0" fontId="0" fillId="0" borderId="21" xfId="0" applyBorder="1" applyAlignment="1" applyProtection="1">
      <alignment horizontal="left" vertical="center" wrapText="1"/>
      <protection hidden="1"/>
    </xf>
    <xf numFmtId="168" fontId="10" fillId="0" borderId="15" xfId="0" applyNumberFormat="1" applyFont="1" applyBorder="1" applyAlignment="1" applyProtection="1">
      <alignment horizontal="center" vertical="center" wrapText="1"/>
      <protection hidden="1"/>
    </xf>
    <xf numFmtId="168" fontId="31" fillId="36" borderId="23" xfId="0" applyNumberFormat="1" applyFont="1" applyFill="1" applyBorder="1" applyAlignment="1" applyProtection="1">
      <alignment horizontal="right" vertical="center" wrapText="1"/>
      <protection hidden="1"/>
    </xf>
    <xf numFmtId="3" fontId="10" fillId="34" borderId="15" xfId="0" applyNumberFormat="1" applyFont="1" applyFill="1" applyBorder="1" applyAlignment="1" applyProtection="1">
      <alignment horizontal="center" vertical="center" wrapText="1"/>
      <protection hidden="1"/>
    </xf>
    <xf numFmtId="168" fontId="14" fillId="36" borderId="0" xfId="0" applyNumberFormat="1" applyFont="1" applyFill="1" applyBorder="1" applyAlignment="1" applyProtection="1">
      <alignment horizontal="center" vertical="center" wrapText="1"/>
      <protection hidden="1"/>
    </xf>
    <xf numFmtId="167" fontId="10" fillId="0" borderId="15" xfId="0" applyNumberFormat="1" applyFont="1" applyBorder="1" applyAlignment="1" applyProtection="1">
      <alignment horizontal="center" vertical="center" wrapText="1"/>
      <protection hidden="1"/>
    </xf>
    <xf numFmtId="3" fontId="10" fillId="0" borderId="15" xfId="0" applyNumberFormat="1" applyFont="1" applyBorder="1" applyAlignment="1" applyProtection="1">
      <alignment horizontal="center" vertical="center" wrapText="1"/>
      <protection hidden="1"/>
    </xf>
    <xf numFmtId="3" fontId="31" fillId="36" borderId="0" xfId="0" applyNumberFormat="1" applyFont="1" applyFill="1" applyBorder="1" applyAlignment="1" applyProtection="1">
      <alignment horizontal="right" vertical="center" wrapText="1"/>
      <protection hidden="1"/>
    </xf>
    <xf numFmtId="0" fontId="0" fillId="0" borderId="0" xfId="0" applyAlignment="1" applyProtection="1" quotePrefix="1">
      <alignment horizontal="left" vertical="center" wrapText="1"/>
      <protection hidden="1"/>
    </xf>
    <xf numFmtId="0" fontId="0" fillId="0" borderId="0" xfId="0" applyAlignment="1" applyProtection="1" quotePrefix="1">
      <alignment horizontal="left" vertical="center"/>
      <protection hidden="1"/>
    </xf>
    <xf numFmtId="4" fontId="10" fillId="0" borderId="15" xfId="0" applyNumberFormat="1" applyFont="1" applyBorder="1" applyAlignment="1" applyProtection="1">
      <alignment horizontal="center" vertical="center" wrapText="1"/>
      <protection hidden="1"/>
    </xf>
    <xf numFmtId="49" fontId="12" fillId="0" borderId="64" xfId="0" applyNumberFormat="1" applyFont="1" applyFill="1" applyBorder="1" applyAlignment="1" applyProtection="1">
      <alignment horizontal="left" vertical="top" wrapText="1"/>
      <protection hidden="1"/>
    </xf>
    <xf numFmtId="49" fontId="12" fillId="0" borderId="0" xfId="0" applyNumberFormat="1" applyFont="1" applyFill="1" applyBorder="1" applyAlignment="1" applyProtection="1">
      <alignment horizontal="left" vertical="top" wrapText="1"/>
      <protection hidden="1"/>
    </xf>
    <xf numFmtId="49" fontId="12" fillId="0" borderId="65" xfId="0" applyNumberFormat="1" applyFont="1" applyFill="1" applyBorder="1" applyAlignment="1" applyProtection="1">
      <alignment horizontal="left" vertical="top" wrapText="1"/>
      <protection hidden="1"/>
    </xf>
    <xf numFmtId="3" fontId="13" fillId="0" borderId="10" xfId="0" applyNumberFormat="1" applyFont="1" applyBorder="1" applyAlignment="1" applyProtection="1">
      <alignment horizontal="right" vertical="center" wrapText="1"/>
      <protection hidden="1"/>
    </xf>
    <xf numFmtId="3" fontId="13" fillId="0" borderId="10" xfId="0" applyNumberFormat="1" applyFont="1" applyFill="1" applyBorder="1" applyAlignment="1" applyProtection="1">
      <alignment horizontal="right" vertical="center" wrapText="1"/>
      <protection hidden="1"/>
    </xf>
    <xf numFmtId="49" fontId="0" fillId="0" borderId="66" xfId="0" applyNumberFormat="1" applyFont="1" applyFill="1" applyBorder="1" applyAlignment="1" applyProtection="1">
      <alignment horizontal="left" vertical="top" wrapText="1"/>
      <protection hidden="1"/>
    </xf>
    <xf numFmtId="49" fontId="0" fillId="0" borderId="67" xfId="0" applyNumberFormat="1" applyFont="1" applyFill="1" applyBorder="1" applyAlignment="1" applyProtection="1">
      <alignment horizontal="left" vertical="top" wrapText="1"/>
      <protection hidden="1"/>
    </xf>
    <xf numFmtId="49" fontId="0" fillId="0" borderId="68" xfId="0" applyNumberFormat="1" applyFont="1" applyFill="1" applyBorder="1" applyAlignment="1" applyProtection="1">
      <alignment horizontal="left" vertical="top" wrapText="1"/>
      <protection hidden="1"/>
    </xf>
    <xf numFmtId="3" fontId="10" fillId="0" borderId="10" xfId="0" applyNumberFormat="1" applyFont="1" applyFill="1" applyBorder="1" applyAlignment="1" applyProtection="1">
      <alignment horizontal="center" vertical="center" wrapText="1"/>
      <protection hidden="1"/>
    </xf>
    <xf numFmtId="49" fontId="30" fillId="0" borderId="69" xfId="0" applyNumberFormat="1" applyFont="1" applyFill="1" applyBorder="1" applyAlignment="1" applyProtection="1">
      <alignment horizontal="center" vertical="center" wrapText="1"/>
      <protection hidden="1"/>
    </xf>
    <xf numFmtId="49" fontId="30" fillId="0" borderId="12" xfId="0" applyNumberFormat="1" applyFont="1" applyFill="1" applyBorder="1" applyAlignment="1" applyProtection="1">
      <alignment horizontal="center" vertical="center" wrapText="1"/>
      <protection hidden="1"/>
    </xf>
    <xf numFmtId="49" fontId="30" fillId="0" borderId="70" xfId="0" applyNumberFormat="1" applyFont="1" applyFill="1" applyBorder="1" applyAlignment="1" applyProtection="1">
      <alignment horizontal="center" vertical="center" wrapText="1"/>
      <protection hidden="1"/>
    </xf>
    <xf numFmtId="3" fontId="10" fillId="0" borderId="11" xfId="0" applyNumberFormat="1" applyFont="1" applyBorder="1" applyAlignment="1" applyProtection="1">
      <alignment horizontal="right" vertical="center" wrapText="1"/>
      <protection hidden="1"/>
    </xf>
    <xf numFmtId="3" fontId="13" fillId="0" borderId="15" xfId="0" applyNumberFormat="1" applyFont="1" applyFill="1" applyBorder="1" applyAlignment="1" applyProtection="1">
      <alignment horizontal="right" vertical="center" wrapText="1"/>
      <protection hidden="1"/>
    </xf>
    <xf numFmtId="3" fontId="13" fillId="0" borderId="18" xfId="0" applyNumberFormat="1" applyFont="1" applyFill="1" applyBorder="1" applyAlignment="1" applyProtection="1">
      <alignment horizontal="right" vertical="center" wrapText="1"/>
      <protection hidden="1"/>
    </xf>
    <xf numFmtId="168" fontId="13" fillId="0" borderId="15" xfId="0" applyNumberFormat="1" applyFont="1" applyBorder="1" applyAlignment="1" applyProtection="1">
      <alignment horizontal="center" vertical="center" wrapText="1"/>
      <protection hidden="1"/>
    </xf>
    <xf numFmtId="3" fontId="13" fillId="0" borderId="21" xfId="0" applyNumberFormat="1" applyFont="1" applyBorder="1" applyAlignment="1" applyProtection="1">
      <alignment horizontal="right" vertical="center" wrapText="1"/>
      <protection hidden="1"/>
    </xf>
    <xf numFmtId="3" fontId="13" fillId="0" borderId="15" xfId="0" applyNumberFormat="1" applyFont="1" applyBorder="1" applyAlignment="1" applyProtection="1">
      <alignment horizontal="right" vertical="center" wrapText="1"/>
      <protection hidden="1"/>
    </xf>
    <xf numFmtId="3" fontId="13" fillId="0" borderId="23" xfId="0" applyNumberFormat="1" applyFont="1" applyBorder="1" applyAlignment="1" applyProtection="1">
      <alignment horizontal="right" vertical="center" wrapText="1"/>
      <protection hidden="1"/>
    </xf>
    <xf numFmtId="168" fontId="10" fillId="0" borderId="23" xfId="0" applyNumberFormat="1" applyFont="1" applyBorder="1" applyAlignment="1" applyProtection="1">
      <alignment horizontal="center" vertical="center" wrapText="1"/>
      <protection hidden="1"/>
    </xf>
    <xf numFmtId="168" fontId="10" fillId="0" borderId="0" xfId="0" applyNumberFormat="1" applyFont="1" applyBorder="1" applyAlignment="1" applyProtection="1">
      <alignment horizontal="center" vertical="center" wrapText="1"/>
      <protection hidden="1"/>
    </xf>
    <xf numFmtId="168" fontId="10" fillId="0" borderId="21" xfId="0" applyNumberFormat="1" applyFont="1" applyBorder="1" applyAlignment="1" applyProtection="1">
      <alignment horizontal="center" vertical="center" wrapText="1"/>
      <protection hidden="1"/>
    </xf>
    <xf numFmtId="168" fontId="14" fillId="36" borderId="23" xfId="0" applyNumberFormat="1" applyFont="1" applyFill="1" applyBorder="1" applyAlignment="1" applyProtection="1">
      <alignment horizontal="center" vertical="center" wrapText="1"/>
      <protection hidden="1"/>
    </xf>
    <xf numFmtId="3" fontId="31" fillId="36" borderId="23" xfId="0" applyNumberFormat="1" applyFont="1" applyFill="1" applyBorder="1" applyAlignment="1" applyProtection="1">
      <alignment horizontal="right" vertical="center" wrapText="1"/>
      <protection hidden="1"/>
    </xf>
    <xf numFmtId="3" fontId="13" fillId="0" borderId="15" xfId="0" applyNumberFormat="1" applyFont="1" applyBorder="1" applyAlignment="1" applyProtection="1">
      <alignment horizontal="center" vertical="center" wrapText="1"/>
      <protection hidden="1"/>
    </xf>
    <xf numFmtId="3" fontId="30" fillId="0" borderId="0" xfId="0" applyNumberFormat="1" applyFont="1" applyBorder="1" applyAlignment="1" applyProtection="1">
      <alignment horizontal="left" vertical="center" wrapText="1"/>
      <protection hidden="1"/>
    </xf>
    <xf numFmtId="0" fontId="31" fillId="46" borderId="0" xfId="0" applyFont="1" applyFill="1" applyAlignment="1" applyProtection="1">
      <alignment horizontal="center" vertical="center" wrapText="1"/>
      <protection hidden="1"/>
    </xf>
    <xf numFmtId="0" fontId="10" fillId="0" borderId="0" xfId="0" applyFont="1" applyAlignment="1" applyProtection="1">
      <alignment horizontal="left" vertical="top" wrapText="1"/>
      <protection hidden="1"/>
    </xf>
    <xf numFmtId="0" fontId="10" fillId="0" borderId="67" xfId="0" applyFont="1" applyBorder="1" applyAlignment="1" applyProtection="1">
      <alignment horizontal="left" vertical="top" wrapText="1"/>
      <protection hidden="1"/>
    </xf>
    <xf numFmtId="0" fontId="0" fillId="37" borderId="10" xfId="0" applyFont="1" applyFill="1" applyBorder="1" applyAlignment="1" applyProtection="1">
      <alignment horizontal="center"/>
      <protection hidden="1"/>
    </xf>
    <xf numFmtId="0" fontId="2" fillId="0" borderId="10" xfId="0" applyFont="1" applyFill="1" applyBorder="1" applyAlignment="1" applyProtection="1">
      <alignment horizontal="right" wrapText="1"/>
      <protection hidden="1"/>
    </xf>
    <xf numFmtId="0" fontId="2" fillId="0" borderId="10" xfId="0" applyFont="1" applyFill="1" applyBorder="1" applyAlignment="1" applyProtection="1">
      <alignment horizontal="right"/>
      <protection hidden="1"/>
    </xf>
    <xf numFmtId="0" fontId="2" fillId="0" borderId="10" xfId="0" applyFont="1" applyBorder="1" applyAlignment="1" applyProtection="1">
      <alignment horizontal="right"/>
      <protection hidden="1"/>
    </xf>
    <xf numFmtId="0" fontId="2" fillId="0" borderId="21" xfId="0" applyFont="1" applyBorder="1" applyAlignment="1" applyProtection="1">
      <alignment horizontal="center"/>
      <protection hidden="1"/>
    </xf>
    <xf numFmtId="49" fontId="28" fillId="0" borderId="66" xfId="0" applyNumberFormat="1" applyFont="1" applyFill="1" applyBorder="1" applyAlignment="1" applyProtection="1">
      <alignment horizontal="center" vertical="center" wrapText="1"/>
      <protection hidden="1"/>
    </xf>
    <xf numFmtId="49" fontId="10" fillId="0" borderId="67" xfId="0" applyNumberFormat="1" applyFont="1" applyFill="1" applyBorder="1" applyAlignment="1" applyProtection="1">
      <alignment horizontal="center" vertical="center" wrapText="1"/>
      <protection hidden="1"/>
    </xf>
    <xf numFmtId="49" fontId="10" fillId="0" borderId="68" xfId="0" applyNumberFormat="1" applyFont="1" applyFill="1" applyBorder="1" applyAlignment="1" applyProtection="1">
      <alignment horizontal="center" vertical="center" wrapText="1"/>
      <protection hidden="1"/>
    </xf>
    <xf numFmtId="0" fontId="31" fillId="36" borderId="0" xfId="0" applyFont="1" applyFill="1" applyBorder="1" applyAlignment="1" applyProtection="1">
      <alignment horizontal="right" vertical="center" wrapText="1"/>
      <protection hidden="1"/>
    </xf>
    <xf numFmtId="0" fontId="31" fillId="36" borderId="0" xfId="0" applyFont="1" applyFill="1" applyBorder="1" applyAlignment="1" applyProtection="1">
      <alignment horizontal="right" vertical="center"/>
      <protection hidden="1"/>
    </xf>
    <xf numFmtId="0" fontId="0" fillId="38" borderId="10" xfId="0" applyFont="1" applyFill="1" applyBorder="1" applyAlignment="1" applyProtection="1">
      <alignment horizontal="center"/>
      <protection hidden="1"/>
    </xf>
    <xf numFmtId="0" fontId="0" fillId="37" borderId="24" xfId="0" applyFont="1" applyFill="1" applyBorder="1" applyAlignment="1" applyProtection="1">
      <alignment horizontal="center"/>
      <protection hidden="1"/>
    </xf>
    <xf numFmtId="0" fontId="0" fillId="37" borderId="11" xfId="0" applyFont="1" applyFill="1" applyBorder="1" applyAlignment="1" applyProtection="1">
      <alignment horizontal="center"/>
      <protection hidden="1"/>
    </xf>
    <xf numFmtId="0" fontId="10" fillId="0" borderId="0" xfId="0" applyFont="1" applyAlignment="1" applyProtection="1">
      <alignment horizontal="left" wrapText="1"/>
      <protection hidden="1"/>
    </xf>
    <xf numFmtId="0" fontId="10" fillId="0" borderId="0" xfId="0" applyFont="1" applyAlignment="1" applyProtection="1">
      <alignment horizontal="left"/>
      <protection hidden="1"/>
    </xf>
    <xf numFmtId="0" fontId="0" fillId="0" borderId="10" xfId="0" applyFont="1" applyBorder="1" applyAlignment="1" applyProtection="1">
      <alignment horizontal="right"/>
      <protection hidden="1"/>
    </xf>
    <xf numFmtId="0" fontId="0" fillId="38" borderId="24" xfId="0" applyFont="1" applyFill="1" applyBorder="1" applyAlignment="1" applyProtection="1">
      <alignment horizontal="center"/>
      <protection hidden="1"/>
    </xf>
    <xf numFmtId="0" fontId="0" fillId="38" borderId="11" xfId="0" applyFont="1" applyFill="1" applyBorder="1" applyAlignment="1" applyProtection="1">
      <alignment horizontal="center"/>
      <protection hidden="1"/>
    </xf>
    <xf numFmtId="0" fontId="2" fillId="0" borderId="0" xfId="0" applyFont="1" applyBorder="1" applyAlignment="1" applyProtection="1">
      <alignment horizontal="center"/>
      <protection hidden="1"/>
    </xf>
    <xf numFmtId="3" fontId="31" fillId="39" borderId="0" xfId="0" applyNumberFormat="1" applyFont="1" applyFill="1" applyBorder="1" applyAlignment="1" applyProtection="1">
      <alignment horizontal="right" vertical="center" wrapText="1"/>
      <protection hidden="1"/>
    </xf>
    <xf numFmtId="49" fontId="30" fillId="0" borderId="0" xfId="0" applyNumberFormat="1" applyFont="1" applyFill="1" applyBorder="1" applyAlignment="1" applyProtection="1">
      <alignment horizontal="center" vertical="center" wrapText="1"/>
      <protection hidden="1"/>
    </xf>
    <xf numFmtId="0" fontId="2" fillId="38" borderId="18" xfId="0" applyFont="1" applyFill="1" applyBorder="1" applyAlignment="1" applyProtection="1">
      <alignment horizontal="center"/>
      <protection hidden="1"/>
    </xf>
    <xf numFmtId="0" fontId="2" fillId="38" borderId="10" xfId="0" applyFont="1" applyFill="1" applyBorder="1" applyAlignment="1" applyProtection="1">
      <alignment horizontal="center"/>
      <protection hidden="1"/>
    </xf>
    <xf numFmtId="0" fontId="48" fillId="0" borderId="0" xfId="0" applyFont="1" applyAlignment="1" applyProtection="1">
      <alignment horizontal="left" vertical="center" wrapText="1"/>
      <protection hidden="1"/>
    </xf>
    <xf numFmtId="0" fontId="2" fillId="0" borderId="16" xfId="0" applyFont="1" applyFill="1" applyBorder="1" applyAlignment="1" applyProtection="1">
      <alignment horizontal="right"/>
      <protection hidden="1"/>
    </xf>
    <xf numFmtId="0" fontId="2" fillId="0" borderId="15" xfId="0" applyFont="1" applyFill="1" applyBorder="1" applyAlignment="1" applyProtection="1">
      <alignment horizontal="right"/>
      <protection hidden="1"/>
    </xf>
    <xf numFmtId="0" fontId="2" fillId="0" borderId="18" xfId="0" applyFont="1" applyFill="1" applyBorder="1" applyAlignment="1" applyProtection="1">
      <alignment horizontal="right"/>
      <protection hidden="1"/>
    </xf>
    <xf numFmtId="49" fontId="30" fillId="0" borderId="64" xfId="0" applyNumberFormat="1" applyFont="1" applyFill="1" applyBorder="1" applyAlignment="1" applyProtection="1">
      <alignment horizontal="center" vertical="center" wrapText="1"/>
      <protection hidden="1"/>
    </xf>
    <xf numFmtId="49" fontId="30" fillId="0" borderId="65" xfId="0" applyNumberFormat="1" applyFont="1" applyFill="1" applyBorder="1" applyAlignment="1" applyProtection="1">
      <alignment horizontal="center" vertical="center" wrapText="1"/>
      <protection hidden="1"/>
    </xf>
    <xf numFmtId="49" fontId="30" fillId="0" borderId="66" xfId="0" applyNumberFormat="1" applyFont="1" applyFill="1" applyBorder="1" applyAlignment="1" applyProtection="1">
      <alignment horizontal="center" vertical="center" wrapText="1"/>
      <protection hidden="1"/>
    </xf>
    <xf numFmtId="49" fontId="30" fillId="0" borderId="67" xfId="0" applyNumberFormat="1" applyFont="1" applyFill="1" applyBorder="1" applyAlignment="1" applyProtection="1">
      <alignment horizontal="center" vertical="center" wrapText="1"/>
      <protection hidden="1"/>
    </xf>
    <xf numFmtId="49" fontId="30" fillId="0" borderId="68"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right"/>
      <protection hidden="1"/>
    </xf>
    <xf numFmtId="0" fontId="2" fillId="0" borderId="0" xfId="0" applyFont="1" applyFill="1" applyBorder="1" applyAlignment="1" applyProtection="1">
      <alignment horizontal="center"/>
      <protection hidden="1"/>
    </xf>
    <xf numFmtId="0" fontId="10" fillId="0" borderId="67" xfId="0" applyFont="1" applyFill="1" applyBorder="1" applyAlignment="1" applyProtection="1">
      <alignment horizontal="left" vertical="top" wrapText="1"/>
      <protection hidden="1"/>
    </xf>
    <xf numFmtId="3" fontId="31" fillId="47" borderId="22" xfId="0" applyNumberFormat="1" applyFont="1" applyFill="1" applyBorder="1" applyAlignment="1" applyProtection="1">
      <alignment horizontal="center" vertical="center" wrapText="1"/>
      <protection hidden="1"/>
    </xf>
    <xf numFmtId="3" fontId="31" fillId="47" borderId="23" xfId="0" applyNumberFormat="1" applyFont="1" applyFill="1" applyBorder="1" applyAlignment="1" applyProtection="1">
      <alignment horizontal="center" vertical="center" wrapText="1"/>
      <protection hidden="1"/>
    </xf>
    <xf numFmtId="3" fontId="2" fillId="33" borderId="16" xfId="0" applyNumberFormat="1" applyFont="1" applyFill="1" applyBorder="1" applyAlignment="1" applyProtection="1">
      <alignment horizontal="center" vertical="center" wrapText="1"/>
      <protection locked="0"/>
    </xf>
    <xf numFmtId="3" fontId="2" fillId="33" borderId="18"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right" vertical="center" wrapText="1"/>
      <protection hidden="1"/>
    </xf>
    <xf numFmtId="0" fontId="2" fillId="37" borderId="10" xfId="0" applyFont="1" applyFill="1" applyBorder="1" applyAlignment="1" applyProtection="1">
      <alignment horizontal="right" vertical="center" wrapText="1"/>
      <protection hidden="1"/>
    </xf>
    <xf numFmtId="0" fontId="2" fillId="48" borderId="10" xfId="0" applyFont="1" applyFill="1" applyBorder="1" applyAlignment="1" applyProtection="1">
      <alignment horizontal="right" vertical="center" wrapText="1"/>
      <protection hidden="1"/>
    </xf>
    <xf numFmtId="3" fontId="2" fillId="49" borderId="16" xfId="0" applyNumberFormat="1" applyFont="1" applyFill="1" applyBorder="1" applyAlignment="1" applyProtection="1">
      <alignment horizontal="center" vertical="center" wrapText="1"/>
      <protection locked="0"/>
    </xf>
    <xf numFmtId="3" fontId="2" fillId="49"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hidden="1"/>
    </xf>
    <xf numFmtId="0" fontId="0" fillId="0" borderId="18" xfId="0" applyBorder="1" applyAlignment="1" applyProtection="1">
      <alignment/>
      <protection hidden="1"/>
    </xf>
    <xf numFmtId="0" fontId="2" fillId="0" borderId="18" xfId="0" applyFont="1" applyFill="1" applyBorder="1" applyAlignment="1" applyProtection="1">
      <alignment horizontal="center" vertical="center" wrapText="1"/>
      <protection hidden="1"/>
    </xf>
    <xf numFmtId="0" fontId="31" fillId="36" borderId="0" xfId="0" applyFont="1" applyFill="1" applyAlignment="1" applyProtection="1">
      <alignment horizontal="right" vertical="center"/>
      <protection hidden="1"/>
    </xf>
    <xf numFmtId="3" fontId="2" fillId="0" borderId="16" xfId="0" applyNumberFormat="1" applyFont="1" applyFill="1" applyBorder="1" applyAlignment="1" applyProtection="1">
      <alignment horizontal="center" vertical="center" wrapText="1"/>
      <protection hidden="1"/>
    </xf>
    <xf numFmtId="3" fontId="2" fillId="0" borderId="18" xfId="0" applyNumberFormat="1" applyFont="1" applyFill="1" applyBorder="1" applyAlignment="1" applyProtection="1">
      <alignment horizontal="center" vertical="center" wrapText="1"/>
      <protection hidden="1"/>
    </xf>
    <xf numFmtId="10" fontId="14" fillId="36" borderId="0" xfId="53" applyNumberFormat="1" applyFont="1" applyFill="1" applyAlignment="1" applyProtection="1">
      <alignment horizontal="center" vertical="center"/>
      <protection hidden="1"/>
    </xf>
    <xf numFmtId="0" fontId="0" fillId="0" borderId="46" xfId="0" applyBorder="1" applyAlignment="1" applyProtection="1">
      <alignment horizontal="left" wrapText="1"/>
      <protection hidden="1"/>
    </xf>
    <xf numFmtId="0" fontId="0" fillId="0" borderId="47" xfId="0" applyBorder="1" applyAlignment="1" applyProtection="1">
      <alignment horizontal="left"/>
      <protection hidden="1"/>
    </xf>
    <xf numFmtId="0" fontId="0" fillId="0" borderId="48" xfId="0" applyBorder="1" applyAlignment="1" applyProtection="1">
      <alignment horizontal="left"/>
      <protection hidden="1"/>
    </xf>
    <xf numFmtId="0" fontId="0" fillId="0" borderId="46" xfId="0" applyFont="1" applyBorder="1" applyAlignment="1" applyProtection="1">
      <alignment horizontal="left" wrapText="1"/>
      <protection hidden="1"/>
    </xf>
    <xf numFmtId="0" fontId="0" fillId="0" borderId="47" xfId="0" applyBorder="1" applyAlignment="1" applyProtection="1">
      <alignment horizontal="left" wrapText="1"/>
      <protection hidden="1"/>
    </xf>
    <xf numFmtId="0" fontId="0" fillId="0" borderId="48" xfId="0" applyBorder="1" applyAlignment="1" applyProtection="1">
      <alignment horizontal="left" wrapText="1"/>
      <protection hidden="1"/>
    </xf>
    <xf numFmtId="0" fontId="2" fillId="35" borderId="16" xfId="0" applyFont="1" applyFill="1" applyBorder="1" applyAlignment="1" applyProtection="1">
      <alignment horizontal="center" vertical="center" wrapText="1"/>
      <protection hidden="1"/>
    </xf>
    <xf numFmtId="0" fontId="2" fillId="35" borderId="18" xfId="0" applyFont="1" applyFill="1" applyBorder="1" applyAlignment="1" applyProtection="1">
      <alignment horizontal="center" vertical="center" wrapText="1"/>
      <protection hidden="1"/>
    </xf>
    <xf numFmtId="0" fontId="2" fillId="0" borderId="46" xfId="0" applyFont="1" applyBorder="1" applyAlignment="1" applyProtection="1">
      <alignment horizontal="left" wrapText="1"/>
      <protection hidden="1"/>
    </xf>
    <xf numFmtId="0" fontId="35" fillId="0" borderId="46" xfId="0" applyFont="1" applyBorder="1" applyAlignment="1" applyProtection="1">
      <alignment horizontal="center" vertical="center" wrapText="1"/>
      <protection hidden="1"/>
    </xf>
    <xf numFmtId="0" fontId="35" fillId="0" borderId="47" xfId="0" applyFont="1" applyBorder="1" applyAlignment="1" applyProtection="1">
      <alignment horizontal="center" vertical="center"/>
      <protection hidden="1"/>
    </xf>
    <xf numFmtId="0" fontId="35" fillId="0" borderId="48" xfId="0" applyFont="1" applyBorder="1" applyAlignment="1" applyProtection="1">
      <alignment horizontal="center" vertical="center"/>
      <protection hidden="1"/>
    </xf>
    <xf numFmtId="0" fontId="19" fillId="0" borderId="0" xfId="0" applyFont="1" applyFill="1" applyBorder="1" applyAlignment="1" applyProtection="1">
      <alignment horizontal="center" vertical="center" wrapText="1"/>
      <protection hidden="1"/>
    </xf>
    <xf numFmtId="0" fontId="0" fillId="0" borderId="46" xfId="0" applyFont="1" applyBorder="1" applyAlignment="1" applyProtection="1">
      <alignment horizontal="left" vertical="center" wrapText="1"/>
      <protection hidden="1"/>
    </xf>
    <xf numFmtId="0" fontId="0" fillId="0" borderId="47" xfId="0" applyBorder="1" applyAlignment="1" applyProtection="1">
      <alignment horizontal="left" vertical="center" wrapText="1"/>
      <protection hidden="1"/>
    </xf>
    <xf numFmtId="0" fontId="0" fillId="0" borderId="48" xfId="0" applyBorder="1" applyAlignment="1" applyProtection="1">
      <alignment horizontal="left" vertical="center" wrapText="1"/>
      <protection hidden="1"/>
    </xf>
    <xf numFmtId="0" fontId="0" fillId="0" borderId="71" xfId="0" applyFont="1" applyBorder="1" applyAlignment="1" applyProtection="1">
      <alignment horizontal="left" vertical="center" wrapText="1"/>
      <protection hidden="1"/>
    </xf>
    <xf numFmtId="0" fontId="2" fillId="0" borderId="47" xfId="0" applyFont="1" applyBorder="1" applyAlignment="1" applyProtection="1">
      <alignment horizontal="left" wrapText="1"/>
      <protection hidden="1"/>
    </xf>
    <xf numFmtId="0" fontId="2" fillId="0" borderId="48" xfId="0" applyFont="1" applyBorder="1" applyAlignment="1" applyProtection="1">
      <alignment horizontal="left" wrapText="1"/>
      <protection hidden="1"/>
    </xf>
    <xf numFmtId="0" fontId="0" fillId="0" borderId="16" xfId="0" applyFont="1" applyBorder="1" applyAlignment="1" applyProtection="1">
      <alignment horizontal="right"/>
      <protection hidden="1"/>
    </xf>
    <xf numFmtId="0" fontId="0" fillId="0" borderId="15" xfId="0" applyFont="1" applyBorder="1" applyAlignment="1" applyProtection="1">
      <alignment horizontal="right"/>
      <protection hidden="1"/>
    </xf>
    <xf numFmtId="0" fontId="0" fillId="0" borderId="18" xfId="0" applyFont="1" applyBorder="1" applyAlignment="1" applyProtection="1">
      <alignment horizontal="right"/>
      <protection hidden="1"/>
    </xf>
    <xf numFmtId="7" fontId="2" fillId="0" borderId="10" xfId="0" applyNumberFormat="1" applyFont="1" applyFill="1" applyBorder="1" applyAlignment="1" applyProtection="1">
      <alignment horizontal="center" vertical="center"/>
      <protection hidden="1"/>
    </xf>
    <xf numFmtId="0" fontId="2" fillId="0" borderId="10" xfId="0" applyFont="1" applyFill="1" applyBorder="1" applyAlignment="1" applyProtection="1">
      <alignment horizontal="right" vertical="center"/>
      <protection hidden="1"/>
    </xf>
    <xf numFmtId="0" fontId="2" fillId="0" borderId="10" xfId="0" applyFont="1" applyBorder="1" applyAlignment="1" applyProtection="1">
      <alignment horizontal="center"/>
      <protection hidden="1"/>
    </xf>
    <xf numFmtId="0" fontId="2" fillId="0" borderId="16" xfId="0" applyFont="1" applyFill="1" applyBorder="1" applyAlignment="1" applyProtection="1">
      <alignment horizontal="center"/>
      <protection hidden="1"/>
    </xf>
    <xf numFmtId="0" fontId="2" fillId="0" borderId="15" xfId="0" applyFont="1" applyFill="1" applyBorder="1" applyAlignment="1" applyProtection="1">
      <alignment horizontal="center"/>
      <protection hidden="1"/>
    </xf>
    <xf numFmtId="0" fontId="2" fillId="0" borderId="18" xfId="0"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10" fontId="2" fillId="33" borderId="10" xfId="53" applyNumberFormat="1" applyFont="1" applyFill="1" applyBorder="1" applyAlignment="1" applyProtection="1">
      <alignment horizontal="center"/>
      <protection locked="0"/>
    </xf>
    <xf numFmtId="170" fontId="2" fillId="33" borderId="10" xfId="53" applyNumberFormat="1" applyFont="1" applyFill="1" applyBorder="1" applyAlignment="1" applyProtection="1">
      <alignment horizontal="center"/>
      <protection locked="0"/>
    </xf>
    <xf numFmtId="0" fontId="2" fillId="0" borderId="46" xfId="0" applyFont="1" applyBorder="1" applyAlignment="1" applyProtection="1">
      <alignment horizontal="left" vertical="center" wrapText="1"/>
      <protection hidden="1"/>
    </xf>
    <xf numFmtId="0" fontId="2" fillId="0" borderId="47" xfId="0" applyFont="1" applyBorder="1" applyAlignment="1" applyProtection="1">
      <alignment horizontal="left" vertical="center" wrapText="1"/>
      <protection hidden="1"/>
    </xf>
    <xf numFmtId="0" fontId="2" fillId="0" borderId="48" xfId="0" applyFont="1" applyBorder="1" applyAlignment="1" applyProtection="1">
      <alignment horizontal="left" vertical="center" wrapText="1"/>
      <protection hidden="1"/>
    </xf>
    <xf numFmtId="0" fontId="35" fillId="0" borderId="47" xfId="0" applyFont="1" applyBorder="1" applyAlignment="1" applyProtection="1">
      <alignment horizontal="center" vertical="center" wrapText="1"/>
      <protection hidden="1"/>
    </xf>
    <xf numFmtId="0" fontId="35" fillId="0" borderId="48" xfId="0" applyFont="1" applyBorder="1" applyAlignment="1" applyProtection="1">
      <alignment horizontal="center" vertical="center" wrapText="1"/>
      <protection hidden="1"/>
    </xf>
    <xf numFmtId="0" fontId="0" fillId="0" borderId="46" xfId="0" applyFont="1" applyBorder="1" applyAlignment="1" applyProtection="1">
      <alignment horizontal="left" vertical="top" wrapText="1"/>
      <protection hidden="1"/>
    </xf>
    <xf numFmtId="0" fontId="0" fillId="0" borderId="47" xfId="0" applyFont="1" applyBorder="1" applyAlignment="1" applyProtection="1">
      <alignment horizontal="left" vertical="top" wrapText="1"/>
      <protection hidden="1"/>
    </xf>
    <xf numFmtId="0" fontId="0" fillId="0" borderId="48" xfId="0" applyFont="1" applyBorder="1" applyAlignment="1" applyProtection="1">
      <alignment horizontal="left" vertical="top" wrapText="1"/>
      <protection hidden="1"/>
    </xf>
    <xf numFmtId="0" fontId="16" fillId="0" borderId="0" xfId="0" applyFont="1" applyAlignment="1" applyProtection="1" quotePrefix="1">
      <alignment horizontal="center"/>
      <protection hidden="1"/>
    </xf>
    <xf numFmtId="0" fontId="0" fillId="0" borderId="47" xfId="0" applyFont="1" applyBorder="1" applyAlignment="1" applyProtection="1">
      <alignment horizontal="left" wrapText="1"/>
      <protection hidden="1"/>
    </xf>
    <xf numFmtId="0" fontId="0" fillId="0" borderId="48" xfId="0" applyFont="1" applyBorder="1" applyAlignment="1" applyProtection="1">
      <alignment horizontal="left" wrapText="1"/>
      <protection hidden="1"/>
    </xf>
    <xf numFmtId="0" fontId="31" fillId="36" borderId="0" xfId="0" applyFont="1" applyFill="1" applyBorder="1" applyAlignment="1" applyProtection="1">
      <alignment horizontal="right"/>
      <protection hidden="1"/>
    </xf>
    <xf numFmtId="0" fontId="27" fillId="36" borderId="0" xfId="0" applyFont="1" applyFill="1" applyBorder="1" applyAlignment="1" applyProtection="1">
      <alignment horizontal="right"/>
      <protection hidden="1"/>
    </xf>
    <xf numFmtId="3" fontId="31" fillId="47" borderId="19" xfId="0" applyNumberFormat="1" applyFont="1" applyFill="1" applyBorder="1" applyAlignment="1" applyProtection="1">
      <alignment horizontal="center" vertical="center" wrapText="1"/>
      <protection hidden="1"/>
    </xf>
    <xf numFmtId="3" fontId="31" fillId="47" borderId="0" xfId="0" applyNumberFormat="1" applyFont="1" applyFill="1" applyBorder="1" applyAlignment="1" applyProtection="1">
      <alignment horizontal="center" vertical="center" wrapText="1"/>
      <protection hidden="1"/>
    </xf>
    <xf numFmtId="49" fontId="8" fillId="0" borderId="47" xfId="0" applyNumberFormat="1" applyFont="1" applyBorder="1" applyAlignment="1" applyProtection="1" quotePrefix="1">
      <alignment horizontal="left" wrapText="1"/>
      <protection hidden="1"/>
    </xf>
    <xf numFmtId="49" fontId="0" fillId="0" borderId="47" xfId="0" applyNumberFormat="1" applyBorder="1" applyAlignment="1" applyProtection="1">
      <alignment horizontal="left" wrapText="1"/>
      <protection hidden="1"/>
    </xf>
    <xf numFmtId="49" fontId="0" fillId="0" borderId="48" xfId="0" applyNumberFormat="1" applyBorder="1" applyAlignment="1" applyProtection="1">
      <alignment horizontal="left" wrapText="1"/>
      <protection hidden="1"/>
    </xf>
    <xf numFmtId="49" fontId="0" fillId="0" borderId="46" xfId="0" applyNumberFormat="1" applyFill="1" applyBorder="1" applyAlignment="1" applyProtection="1">
      <alignment horizontal="left" wrapText="1"/>
      <protection hidden="1"/>
    </xf>
    <xf numFmtId="49" fontId="0" fillId="0" borderId="47" xfId="0" applyNumberFormat="1" applyFill="1" applyBorder="1" applyAlignment="1" applyProtection="1">
      <alignment horizontal="left" wrapText="1"/>
      <protection hidden="1"/>
    </xf>
    <xf numFmtId="49" fontId="0" fillId="0" borderId="48" xfId="0" applyNumberFormat="1" applyFill="1" applyBorder="1" applyAlignment="1" applyProtection="1">
      <alignment horizontal="left" wrapText="1"/>
      <protection hidden="1"/>
    </xf>
    <xf numFmtId="49" fontId="13" fillId="0" borderId="66" xfId="0" applyNumberFormat="1" applyFont="1" applyFill="1" applyBorder="1" applyAlignment="1" applyProtection="1">
      <alignment horizontal="center" vertical="center" wrapText="1"/>
      <protection hidden="1"/>
    </xf>
    <xf numFmtId="49" fontId="13" fillId="0" borderId="67" xfId="0" applyNumberFormat="1" applyFont="1" applyFill="1" applyBorder="1" applyAlignment="1" applyProtection="1">
      <alignment horizontal="center" vertical="center" wrapText="1"/>
      <protection hidden="1"/>
    </xf>
    <xf numFmtId="49" fontId="13" fillId="0" borderId="68" xfId="0" applyNumberFormat="1" applyFont="1" applyFill="1" applyBorder="1" applyAlignment="1" applyProtection="1">
      <alignment horizontal="center" vertical="center" wrapText="1"/>
      <protection hidden="1"/>
    </xf>
    <xf numFmtId="0" fontId="12" fillId="0" borderId="16" xfId="0" applyFont="1" applyBorder="1" applyAlignment="1" applyProtection="1" quotePrefix="1">
      <alignment horizontal="right" wrapText="1"/>
      <protection hidden="1"/>
    </xf>
    <xf numFmtId="49" fontId="31" fillId="36" borderId="0" xfId="0" applyNumberFormat="1" applyFont="1" applyFill="1" applyBorder="1" applyAlignment="1" applyProtection="1">
      <alignment horizontal="right" vertical="center" wrapText="1"/>
      <protection hidden="1"/>
    </xf>
    <xf numFmtId="0" fontId="2" fillId="37" borderId="24" xfId="0" applyFont="1" applyFill="1" applyBorder="1" applyAlignment="1" applyProtection="1">
      <alignment horizontal="center"/>
      <protection hidden="1"/>
    </xf>
    <xf numFmtId="0" fontId="2" fillId="37" borderId="11" xfId="0" applyFont="1" applyFill="1" applyBorder="1" applyAlignment="1" applyProtection="1">
      <alignment horizontal="center"/>
      <protection hidden="1"/>
    </xf>
    <xf numFmtId="0" fontId="24" fillId="0" borderId="0" xfId="0" applyFont="1" applyAlignment="1" applyProtection="1" quotePrefix="1">
      <alignment horizontal="center" vertical="center"/>
      <protection hidden="1"/>
    </xf>
    <xf numFmtId="0" fontId="31" fillId="36" borderId="0" xfId="0" applyFont="1" applyFill="1" applyBorder="1" applyAlignment="1" applyProtection="1">
      <alignment horizontal="right" vertical="center"/>
      <protection hidden="1"/>
    </xf>
    <xf numFmtId="0" fontId="2" fillId="0" borderId="16" xfId="0" applyFont="1" applyBorder="1" applyAlignment="1" applyProtection="1">
      <alignment horizontal="right"/>
      <protection hidden="1"/>
    </xf>
    <xf numFmtId="0" fontId="2" fillId="0" borderId="15" xfId="0" applyFont="1" applyBorder="1" applyAlignment="1" applyProtection="1">
      <alignment horizontal="right"/>
      <protection hidden="1"/>
    </xf>
    <xf numFmtId="0" fontId="2" fillId="0" borderId="18" xfId="0" applyFont="1" applyBorder="1" applyAlignment="1" applyProtection="1">
      <alignment horizontal="right"/>
      <protection hidden="1"/>
    </xf>
    <xf numFmtId="49" fontId="10" fillId="0" borderId="66" xfId="0" applyNumberFormat="1" applyFont="1" applyFill="1" applyBorder="1" applyAlignment="1" applyProtection="1">
      <alignment horizontal="center" vertical="center" wrapText="1"/>
      <protection hidden="1"/>
    </xf>
    <xf numFmtId="0" fontId="31" fillId="36" borderId="0" xfId="0" applyFont="1" applyFill="1" applyBorder="1" applyAlignment="1" applyProtection="1">
      <alignment horizontal="right" vertical="center" wrapText="1"/>
      <protection hidden="1"/>
    </xf>
    <xf numFmtId="0" fontId="2" fillId="0" borderId="16" xfId="0" applyFont="1" applyBorder="1" applyAlignment="1" applyProtection="1">
      <alignment horizontal="right" wrapText="1"/>
      <protection hidden="1"/>
    </xf>
    <xf numFmtId="0" fontId="27" fillId="36" borderId="0" xfId="0" applyFont="1" applyFill="1" applyBorder="1" applyAlignment="1" applyProtection="1">
      <alignment horizontal="right" vertical="center"/>
      <protection hidden="1"/>
    </xf>
    <xf numFmtId="0" fontId="10" fillId="36" borderId="16" xfId="0" applyFont="1" applyFill="1" applyBorder="1" applyAlignment="1" applyProtection="1">
      <alignment horizontal="left" vertical="center" wrapText="1"/>
      <protection hidden="1"/>
    </xf>
    <xf numFmtId="0" fontId="10" fillId="36" borderId="18" xfId="0" applyFont="1" applyFill="1" applyBorder="1" applyAlignment="1" applyProtection="1">
      <alignment horizontal="left" vertical="center" wrapText="1"/>
      <protection hidden="1"/>
    </xf>
    <xf numFmtId="0" fontId="2" fillId="0" borderId="16" xfId="0" applyFont="1" applyFill="1" applyBorder="1" applyAlignment="1" applyProtection="1">
      <alignment horizontal="left" vertical="center" wrapText="1"/>
      <protection hidden="1"/>
    </xf>
    <xf numFmtId="0" fontId="2" fillId="0" borderId="18" xfId="0" applyFont="1" applyFill="1" applyBorder="1" applyAlignment="1" applyProtection="1">
      <alignment horizontal="left" vertical="center" wrapText="1"/>
      <protection hidden="1"/>
    </xf>
    <xf numFmtId="0" fontId="2" fillId="36" borderId="10" xfId="0" applyFont="1" applyFill="1" applyBorder="1" applyAlignment="1" applyProtection="1">
      <alignment horizontal="right" vertical="center" wrapText="1"/>
      <protection hidden="1"/>
    </xf>
    <xf numFmtId="10" fontId="10" fillId="36" borderId="16" xfId="0" applyNumberFormat="1" applyFont="1" applyFill="1" applyBorder="1" applyAlignment="1" applyProtection="1">
      <alignment horizontal="center" vertical="center" wrapText="1"/>
      <protection hidden="1"/>
    </xf>
    <xf numFmtId="10" fontId="10" fillId="36" borderId="15" xfId="0" applyNumberFormat="1" applyFont="1" applyFill="1" applyBorder="1" applyAlignment="1" applyProtection="1">
      <alignment horizontal="center" vertical="center" wrapText="1"/>
      <protection hidden="1"/>
    </xf>
    <xf numFmtId="10" fontId="10" fillId="36" borderId="18" xfId="0" applyNumberFormat="1" applyFont="1" applyFill="1" applyBorder="1" applyAlignment="1" applyProtection="1">
      <alignment horizontal="center" vertical="center" wrapText="1"/>
      <protection hidden="1"/>
    </xf>
    <xf numFmtId="0" fontId="65" fillId="0" borderId="23" xfId="0" applyFont="1" applyBorder="1" applyAlignment="1" applyProtection="1">
      <alignment horizontal="center" vertical="center" wrapText="1"/>
      <protection hidden="1"/>
    </xf>
    <xf numFmtId="0" fontId="31" fillId="36" borderId="0" xfId="0" applyFont="1" applyFill="1" applyAlignment="1" applyProtection="1">
      <alignment horizontal="center" vertical="center"/>
      <protection hidden="1"/>
    </xf>
    <xf numFmtId="0" fontId="10" fillId="0" borderId="0" xfId="0" applyFont="1" applyAlignment="1" applyProtection="1">
      <alignment horizontal="center"/>
      <protection hidden="1"/>
    </xf>
    <xf numFmtId="0" fontId="28" fillId="0" borderId="0" xfId="0" applyFont="1" applyAlignment="1" applyProtection="1">
      <alignment horizontal="center"/>
      <protection hidden="1"/>
    </xf>
    <xf numFmtId="0" fontId="10" fillId="35" borderId="28" xfId="0" applyFont="1" applyFill="1" applyBorder="1" applyAlignment="1" applyProtection="1">
      <alignment horizontal="left" vertical="center" wrapText="1"/>
      <protection hidden="1"/>
    </xf>
    <xf numFmtId="0" fontId="10" fillId="35" borderId="0" xfId="0" applyFont="1" applyFill="1" applyBorder="1" applyAlignment="1" applyProtection="1">
      <alignment horizontal="left" vertical="center" wrapText="1"/>
      <protection hidden="1"/>
    </xf>
    <xf numFmtId="0" fontId="10" fillId="35" borderId="29" xfId="0" applyFont="1" applyFill="1" applyBorder="1" applyAlignment="1" applyProtection="1">
      <alignment horizontal="left" vertical="center" wrapText="1"/>
      <protection hidden="1"/>
    </xf>
    <xf numFmtId="0" fontId="10" fillId="0" borderId="0" xfId="0" applyFont="1" applyFill="1" applyAlignment="1" applyProtection="1">
      <alignment horizontal="center"/>
      <protection hidden="1"/>
    </xf>
    <xf numFmtId="0" fontId="2" fillId="0" borderId="10" xfId="0" applyFont="1" applyFill="1" applyBorder="1" applyAlignment="1" applyProtection="1">
      <alignment horizontal="left" vertical="center" wrapText="1"/>
      <protection hidden="1"/>
    </xf>
    <xf numFmtId="0" fontId="12" fillId="0" borderId="0" xfId="0" applyFont="1" applyAlignment="1" applyProtection="1">
      <alignment horizontal="center" wrapText="1"/>
      <protection hidden="1"/>
    </xf>
    <xf numFmtId="0" fontId="31" fillId="36" borderId="10" xfId="0" applyFont="1" applyFill="1" applyBorder="1" applyAlignment="1" applyProtection="1">
      <alignment horizontal="right" vertical="center" wrapText="1"/>
      <protection hidden="1"/>
    </xf>
    <xf numFmtId="2" fontId="10" fillId="0" borderId="16" xfId="0" applyNumberFormat="1" applyFont="1" applyFill="1" applyBorder="1" applyAlignment="1" applyProtection="1">
      <alignment horizontal="center" vertical="center" wrapText="1"/>
      <protection hidden="1"/>
    </xf>
    <xf numFmtId="2" fontId="10" fillId="0" borderId="15" xfId="0" applyNumberFormat="1" applyFont="1" applyFill="1" applyBorder="1" applyAlignment="1" applyProtection="1">
      <alignment horizontal="center" vertical="center" wrapText="1"/>
      <protection hidden="1"/>
    </xf>
    <xf numFmtId="2" fontId="10" fillId="0" borderId="18" xfId="0" applyNumberFormat="1" applyFont="1" applyFill="1" applyBorder="1" applyAlignment="1" applyProtection="1">
      <alignment horizontal="center" vertical="center" wrapText="1"/>
      <protection hidden="1"/>
    </xf>
    <xf numFmtId="5" fontId="31" fillId="36" borderId="16" xfId="43" applyNumberFormat="1" applyFont="1" applyFill="1" applyBorder="1" applyAlignment="1" applyProtection="1">
      <alignment horizontal="center" vertical="center" wrapText="1"/>
      <protection hidden="1"/>
    </xf>
    <xf numFmtId="5" fontId="0" fillId="0" borderId="15" xfId="43" applyNumberFormat="1" applyFont="1" applyBorder="1" applyAlignment="1" applyProtection="1">
      <alignment horizontal="center"/>
      <protection hidden="1"/>
    </xf>
    <xf numFmtId="5" fontId="0" fillId="0" borderId="18" xfId="43" applyNumberFormat="1" applyFont="1" applyBorder="1" applyAlignment="1" applyProtection="1">
      <alignment horizontal="center"/>
      <protection hidden="1"/>
    </xf>
    <xf numFmtId="0" fontId="2" fillId="0" borderId="16" xfId="0" applyFont="1" applyFill="1" applyBorder="1" applyAlignment="1" applyProtection="1">
      <alignment vertical="center" wrapText="1"/>
      <protection hidden="1"/>
    </xf>
    <xf numFmtId="0" fontId="2" fillId="0" borderId="18" xfId="0" applyFont="1" applyFill="1" applyBorder="1" applyAlignment="1" applyProtection="1">
      <alignment vertical="center" wrapText="1"/>
      <protection hidden="1"/>
    </xf>
    <xf numFmtId="168" fontId="14" fillId="0" borderId="16" xfId="0" applyNumberFormat="1" applyFont="1" applyFill="1" applyBorder="1" applyAlignment="1" applyProtection="1">
      <alignment horizontal="center" vertical="center" wrapText="1"/>
      <protection hidden="1"/>
    </xf>
    <xf numFmtId="168" fontId="14" fillId="0" borderId="15" xfId="0" applyNumberFormat="1" applyFont="1" applyFill="1" applyBorder="1" applyAlignment="1" applyProtection="1">
      <alignment horizontal="center" vertical="center" wrapText="1"/>
      <protection hidden="1"/>
    </xf>
    <xf numFmtId="168" fontId="14" fillId="0" borderId="18" xfId="0" applyNumberFormat="1" applyFont="1" applyFill="1" applyBorder="1" applyAlignment="1" applyProtection="1">
      <alignment horizontal="center" vertical="center" wrapText="1"/>
      <protection hidden="1"/>
    </xf>
    <xf numFmtId="0" fontId="2" fillId="40" borderId="16" xfId="0" applyFont="1" applyFill="1" applyBorder="1" applyAlignment="1" applyProtection="1">
      <alignment horizontal="right" vertical="center" wrapText="1"/>
      <protection hidden="1"/>
    </xf>
    <xf numFmtId="0" fontId="2" fillId="40" borderId="18" xfId="0" applyFont="1" applyFill="1" applyBorder="1" applyAlignment="1" applyProtection="1">
      <alignment horizontal="right" vertical="center" wrapText="1"/>
      <protection hidden="1"/>
    </xf>
    <xf numFmtId="3" fontId="14" fillId="40" borderId="16" xfId="0" applyNumberFormat="1" applyFont="1" applyFill="1" applyBorder="1" applyAlignment="1" applyProtection="1">
      <alignment horizontal="center" vertical="center" wrapText="1"/>
      <protection hidden="1"/>
    </xf>
    <xf numFmtId="3" fontId="14" fillId="40" borderId="15" xfId="0" applyNumberFormat="1" applyFont="1" applyFill="1" applyBorder="1" applyAlignment="1" applyProtection="1">
      <alignment horizontal="center" vertical="center" wrapText="1"/>
      <protection hidden="1"/>
    </xf>
    <xf numFmtId="3" fontId="14" fillId="40" borderId="18" xfId="0" applyNumberFormat="1" applyFont="1" applyFill="1" applyBorder="1" applyAlignment="1" applyProtection="1">
      <alignment horizontal="center" vertical="center" wrapText="1"/>
      <protection hidden="1"/>
    </xf>
    <xf numFmtId="168" fontId="14" fillId="37" borderId="10" xfId="0" applyNumberFormat="1" applyFont="1" applyFill="1" applyBorder="1" applyAlignment="1" applyProtection="1">
      <alignment horizontal="center" vertical="center" wrapText="1"/>
      <protection hidden="1"/>
    </xf>
    <xf numFmtId="3" fontId="14" fillId="37"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168" fontId="62" fillId="34" borderId="19" xfId="0" applyNumberFormat="1" applyFont="1" applyFill="1" applyBorder="1" applyAlignment="1" applyProtection="1">
      <alignment horizontal="center" vertical="top" wrapText="1"/>
      <protection hidden="1"/>
    </xf>
    <xf numFmtId="0" fontId="110" fillId="0" borderId="72" xfId="0" applyFont="1" applyBorder="1" applyAlignment="1" applyProtection="1">
      <alignment horizontal="left" vertical="center" wrapText="1"/>
      <protection hidden="1"/>
    </xf>
    <xf numFmtId="0" fontId="110" fillId="0" borderId="73" xfId="0" applyFont="1" applyBorder="1" applyAlignment="1" applyProtection="1">
      <alignment horizontal="left" vertical="center" wrapText="1"/>
      <protection hidden="1"/>
    </xf>
    <xf numFmtId="0" fontId="110" fillId="0" borderId="74" xfId="0" applyFont="1" applyBorder="1" applyAlignment="1" applyProtection="1">
      <alignment horizontal="left" vertical="center" wrapText="1"/>
      <protection hidden="1"/>
    </xf>
    <xf numFmtId="0" fontId="62" fillId="0" borderId="19" xfId="0" applyFont="1" applyBorder="1" applyAlignment="1" applyProtection="1">
      <alignment horizontal="center" vertical="center" wrapText="1"/>
      <protection hidden="1"/>
    </xf>
    <xf numFmtId="168" fontId="25" fillId="40" borderId="10" xfId="0" applyNumberFormat="1" applyFont="1" applyFill="1" applyBorder="1" applyAlignment="1" applyProtection="1">
      <alignment horizontal="center" vertical="center" wrapText="1"/>
      <protection hidden="1"/>
    </xf>
    <xf numFmtId="168" fontId="14" fillId="40" borderId="16" xfId="0" applyNumberFormat="1" applyFont="1" applyFill="1" applyBorder="1" applyAlignment="1" applyProtection="1">
      <alignment horizontal="center" vertical="center" wrapText="1"/>
      <protection hidden="1"/>
    </xf>
    <xf numFmtId="168" fontId="14" fillId="40" borderId="15" xfId="0" applyNumberFormat="1" applyFont="1" applyFill="1" applyBorder="1" applyAlignment="1" applyProtection="1">
      <alignment horizontal="center" vertical="center" wrapText="1"/>
      <protection hidden="1"/>
    </xf>
    <xf numFmtId="168" fontId="14" fillId="40" borderId="18" xfId="0" applyNumberFormat="1" applyFont="1" applyFill="1" applyBorder="1" applyAlignment="1" applyProtection="1">
      <alignment horizontal="center" vertical="center" wrapText="1"/>
      <protection hidden="1"/>
    </xf>
    <xf numFmtId="3" fontId="10" fillId="0" borderId="16" xfId="0" applyNumberFormat="1" applyFont="1" applyFill="1" applyBorder="1" applyAlignment="1" applyProtection="1">
      <alignment horizontal="center" vertical="center" wrapText="1"/>
      <protection hidden="1"/>
    </xf>
    <xf numFmtId="3" fontId="10" fillId="0" borderId="18" xfId="0" applyNumberFormat="1" applyFont="1" applyFill="1" applyBorder="1" applyAlignment="1" applyProtection="1">
      <alignment horizontal="center" vertical="center" wrapText="1"/>
      <protection hidden="1"/>
    </xf>
    <xf numFmtId="0" fontId="0" fillId="0" borderId="23" xfId="0" applyBorder="1" applyAlignment="1" applyProtection="1">
      <alignment horizontal="center"/>
      <protection hidden="1"/>
    </xf>
    <xf numFmtId="10" fontId="14" fillId="40" borderId="16" xfId="0" applyNumberFormat="1" applyFont="1" applyFill="1" applyBorder="1" applyAlignment="1" applyProtection="1">
      <alignment horizontal="center" vertical="center" wrapText="1"/>
      <protection hidden="1"/>
    </xf>
    <xf numFmtId="10" fontId="14" fillId="40" borderId="15" xfId="0" applyNumberFormat="1" applyFont="1" applyFill="1" applyBorder="1" applyAlignment="1" applyProtection="1">
      <alignment horizontal="center" vertical="center" wrapText="1"/>
      <protection hidden="1"/>
    </xf>
    <xf numFmtId="10" fontId="14" fillId="40" borderId="18" xfId="0" applyNumberFormat="1" applyFont="1" applyFill="1" applyBorder="1" applyAlignment="1" applyProtection="1">
      <alignment horizontal="center" vertical="center" wrapText="1"/>
      <protection hidden="1"/>
    </xf>
    <xf numFmtId="0" fontId="2" fillId="0" borderId="16" xfId="0" applyFont="1" applyFill="1" applyBorder="1" applyAlignment="1" applyProtection="1">
      <alignment horizontal="right" vertical="center" wrapText="1"/>
      <protection hidden="1"/>
    </xf>
    <xf numFmtId="0" fontId="2" fillId="0" borderId="18" xfId="0" applyFont="1" applyFill="1" applyBorder="1" applyAlignment="1" applyProtection="1">
      <alignment horizontal="right" vertical="center" wrapText="1"/>
      <protection hidden="1"/>
    </xf>
    <xf numFmtId="2" fontId="14" fillId="0" borderId="16" xfId="0" applyNumberFormat="1" applyFont="1" applyFill="1" applyBorder="1" applyAlignment="1" applyProtection="1">
      <alignment horizontal="center" vertical="center" wrapText="1"/>
      <protection hidden="1"/>
    </xf>
    <xf numFmtId="2" fontId="14" fillId="0" borderId="15" xfId="0" applyNumberFormat="1" applyFont="1" applyFill="1" applyBorder="1" applyAlignment="1" applyProtection="1">
      <alignment horizontal="center" vertical="center" wrapText="1"/>
      <protection hidden="1"/>
    </xf>
    <xf numFmtId="2" fontId="14" fillId="0" borderId="18" xfId="0" applyNumberFormat="1" applyFont="1" applyFill="1" applyBorder="1" applyAlignment="1" applyProtection="1">
      <alignment horizontal="center" vertical="center" wrapText="1"/>
      <protection hidden="1"/>
    </xf>
    <xf numFmtId="0" fontId="61" fillId="36" borderId="0" xfId="0" applyFont="1" applyFill="1" applyBorder="1" applyAlignment="1" applyProtection="1">
      <alignment horizontal="center" wrapText="1"/>
      <protection hidden="1"/>
    </xf>
    <xf numFmtId="0" fontId="14" fillId="0" borderId="16" xfId="0" applyFont="1" applyFill="1" applyBorder="1" applyAlignment="1" applyProtection="1">
      <alignment horizontal="left" vertical="center" wrapText="1"/>
      <protection hidden="1"/>
    </xf>
    <xf numFmtId="0" fontId="14" fillId="0" borderId="15"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left" vertical="center" wrapText="1"/>
      <protection hidden="1"/>
    </xf>
    <xf numFmtId="168" fontId="25" fillId="0" borderId="22" xfId="0" applyNumberFormat="1" applyFont="1" applyFill="1" applyBorder="1" applyAlignment="1" applyProtection="1">
      <alignment horizontal="center" vertical="center" wrapText="1"/>
      <protection hidden="1"/>
    </xf>
    <xf numFmtId="168" fontId="25" fillId="0" borderId="23" xfId="0" applyNumberFormat="1" applyFont="1" applyFill="1" applyBorder="1" applyAlignment="1" applyProtection="1">
      <alignment horizontal="center" vertical="center" wrapText="1"/>
      <protection hidden="1"/>
    </xf>
    <xf numFmtId="168" fontId="25" fillId="0" borderId="24" xfId="0" applyNumberFormat="1" applyFont="1" applyFill="1" applyBorder="1" applyAlignment="1" applyProtection="1">
      <alignment horizontal="center" vertical="center" wrapText="1"/>
      <protection hidden="1"/>
    </xf>
    <xf numFmtId="168" fontId="25" fillId="0" borderId="19" xfId="0" applyNumberFormat="1" applyFont="1" applyFill="1" applyBorder="1" applyAlignment="1" applyProtection="1">
      <alignment horizontal="center" vertical="center" wrapText="1"/>
      <protection hidden="1"/>
    </xf>
    <xf numFmtId="168" fontId="25" fillId="0" borderId="0" xfId="0" applyNumberFormat="1" applyFont="1" applyFill="1" applyBorder="1" applyAlignment="1" applyProtection="1">
      <alignment horizontal="center" vertical="center" wrapText="1"/>
      <protection hidden="1"/>
    </xf>
    <xf numFmtId="168" fontId="25" fillId="0" borderId="26" xfId="0" applyNumberFormat="1" applyFont="1" applyFill="1" applyBorder="1" applyAlignment="1" applyProtection="1">
      <alignment horizontal="center" vertical="center" wrapText="1"/>
      <protection hidden="1"/>
    </xf>
    <xf numFmtId="168" fontId="25" fillId="0" borderId="20" xfId="0" applyNumberFormat="1" applyFont="1" applyFill="1" applyBorder="1" applyAlignment="1" applyProtection="1">
      <alignment horizontal="center" vertical="center" wrapText="1"/>
      <protection hidden="1"/>
    </xf>
    <xf numFmtId="168" fontId="25" fillId="0" borderId="21" xfId="0" applyNumberFormat="1" applyFont="1" applyFill="1" applyBorder="1" applyAlignment="1" applyProtection="1">
      <alignment horizontal="center" vertical="center" wrapText="1"/>
      <protection hidden="1"/>
    </xf>
    <xf numFmtId="168" fontId="25" fillId="0" borderId="25" xfId="0" applyNumberFormat="1" applyFont="1" applyFill="1" applyBorder="1" applyAlignment="1" applyProtection="1">
      <alignment horizontal="center" vertical="center" wrapText="1"/>
      <protection hidden="1"/>
    </xf>
    <xf numFmtId="0" fontId="2" fillId="37" borderId="10" xfId="0" applyFont="1" applyFill="1" applyBorder="1" applyAlignment="1" applyProtection="1">
      <alignment horizontal="center" vertical="center" wrapText="1"/>
      <protection hidden="1"/>
    </xf>
    <xf numFmtId="3" fontId="14" fillId="37" borderId="16" xfId="0" applyNumberFormat="1"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wrapText="1"/>
      <protection hidden="1"/>
    </xf>
    <xf numFmtId="0" fontId="14" fillId="37" borderId="18" xfId="0" applyFont="1" applyFill="1" applyBorder="1" applyAlignment="1" applyProtection="1">
      <alignment horizontal="left" vertical="center" wrapText="1"/>
      <protection hidden="1"/>
    </xf>
    <xf numFmtId="168" fontId="25" fillId="37" borderId="10" xfId="0" applyNumberFormat="1" applyFont="1" applyFill="1" applyBorder="1" applyAlignment="1" applyProtection="1">
      <alignment horizontal="center" vertical="center" wrapText="1"/>
      <protection hidden="1"/>
    </xf>
    <xf numFmtId="0" fontId="2" fillId="40" borderId="10"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0" fontId="12" fillId="0" borderId="77" xfId="0" applyFont="1" applyBorder="1" applyAlignment="1" applyProtection="1">
      <alignment horizontal="center" vertical="center" wrapText="1"/>
      <protection hidden="1"/>
    </xf>
    <xf numFmtId="168" fontId="52" fillId="34" borderId="0" xfId="0" applyNumberFormat="1" applyFont="1" applyFill="1" applyBorder="1" applyAlignment="1" applyProtection="1">
      <alignment horizontal="center" vertical="center"/>
      <protection hidden="1"/>
    </xf>
    <xf numFmtId="3" fontId="14" fillId="36" borderId="10" xfId="0" applyNumberFormat="1" applyFont="1" applyFill="1" applyBorder="1" applyAlignment="1" applyProtection="1">
      <alignment horizontal="center" vertical="center" wrapText="1"/>
      <protection hidden="1"/>
    </xf>
    <xf numFmtId="168" fontId="14" fillId="36" borderId="10" xfId="0" applyNumberFormat="1" applyFont="1" applyFill="1" applyBorder="1" applyAlignment="1" applyProtection="1">
      <alignment horizontal="center" vertical="center" wrapText="1"/>
      <protection hidden="1"/>
    </xf>
    <xf numFmtId="49" fontId="0" fillId="0" borderId="0" xfId="0" applyNumberFormat="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center" vertical="center" wrapText="1"/>
      <protection hidden="1"/>
    </xf>
    <xf numFmtId="0" fontId="46" fillId="0" borderId="0" xfId="0" applyFont="1" applyAlignment="1" applyProtection="1">
      <alignment horizontal="left" vertical="center" wrapText="1"/>
      <protection hidden="1"/>
    </xf>
    <xf numFmtId="0" fontId="14" fillId="40" borderId="16" xfId="0" applyFont="1" applyFill="1" applyBorder="1" applyAlignment="1" applyProtection="1">
      <alignment horizontal="right" vertical="center" wrapText="1"/>
      <protection hidden="1"/>
    </xf>
    <xf numFmtId="0" fontId="14" fillId="40" borderId="18" xfId="0" applyFont="1" applyFill="1" applyBorder="1" applyAlignment="1" applyProtection="1">
      <alignment horizontal="right" vertical="center" wrapText="1"/>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NEGHOSCORE</a:t>
            </a:r>
          </a:p>
        </c:rich>
      </c:tx>
      <c:layout>
        <c:manualLayout>
          <c:xMode val="factor"/>
          <c:yMode val="factor"/>
          <c:x val="0.0095"/>
          <c:y val="-0.02175"/>
        </c:manualLayout>
      </c:layout>
      <c:spPr>
        <a:noFill/>
        <a:ln w="3175">
          <a:noFill/>
        </a:ln>
      </c:spPr>
    </c:title>
    <c:plotArea>
      <c:layout>
        <c:manualLayout>
          <c:xMode val="edge"/>
          <c:yMode val="edge"/>
          <c:x val="0.34675"/>
          <c:y val="0.19975"/>
          <c:w val="0.346"/>
          <c:h val="0.604"/>
        </c:manualLayout>
      </c:layout>
      <c:radarChart>
        <c:radarStyle val="filled"/>
        <c:varyColors val="0"/>
        <c:ser>
          <c:idx val="0"/>
          <c:order val="0"/>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cat>
            <c:multiLvlStrRef>
              <c:f>'30'!$B$24:$C$27</c:f>
              <c:multiLvlStrCache/>
            </c:multiLvlStrRef>
          </c:cat>
          <c:val>
            <c:numRef>
              <c:f>'30'!$E$24:$E$27</c:f>
              <c:numCache/>
            </c:numRef>
          </c:val>
        </c:ser>
        <c:ser>
          <c:idx val="1"/>
          <c:order val="1"/>
          <c:spPr>
            <a:gradFill rotWithShape="1">
              <a:gsLst>
                <a:gs pos="0">
                  <a:srgbClr val="FFFF99"/>
                </a:gs>
                <a:gs pos="100000">
                  <a:srgbClr val="FF9900"/>
                </a:gs>
              </a:gsLst>
              <a:lin ang="5400000" scaled="1"/>
            </a:grad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5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5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1" i="0" u="none" baseline="0">
                      <a:solidFill>
                        <a:srgbClr val="339966"/>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50" b="1" i="0" u="none" baseline="0">
                    <a:solidFill>
                      <a:srgbClr val="339966"/>
                    </a:solidFill>
                    <a:latin typeface="Arial"/>
                    <a:ea typeface="Arial"/>
                    <a:cs typeface="Arial"/>
                  </a:defRPr>
                </a:pPr>
              </a:p>
            </c:txPr>
            <c:showLegendKey val="0"/>
            <c:showVal val="1"/>
            <c:showBubbleSize val="0"/>
            <c:showCatName val="0"/>
            <c:showSerName val="0"/>
            <c:showPercent val="0"/>
          </c:dLbls>
          <c:cat>
            <c:multiLvlStrRef>
              <c:f>'30'!$B$24:$C$27</c:f>
              <c:multiLvlStrCache/>
            </c:multiLvlStrRef>
          </c:cat>
          <c:val>
            <c:numRef>
              <c:f>'30'!$F$24:$F$27</c:f>
              <c:numCache/>
            </c:numRef>
          </c:val>
        </c:ser>
        <c:axId val="32296030"/>
        <c:axId val="22228815"/>
      </c:radarChart>
      <c:catAx>
        <c:axId val="32296030"/>
        <c:scaling>
          <c:orientation val="minMax"/>
        </c:scaling>
        <c:axPos val="b"/>
        <c:majorGridlines>
          <c:spPr>
            <a:ln w="3175">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1175" b="1" i="0" u="none" baseline="0">
                <a:solidFill>
                  <a:srgbClr val="000000"/>
                </a:solidFill>
                <a:latin typeface="Arial"/>
                <a:ea typeface="Arial"/>
                <a:cs typeface="Arial"/>
              </a:defRPr>
            </a:pPr>
          </a:p>
        </c:txPr>
        <c:crossAx val="22228815"/>
        <c:crosses val="autoZero"/>
        <c:auto val="0"/>
        <c:lblOffset val="100"/>
        <c:tickLblSkip val="1"/>
        <c:noMultiLvlLbl val="0"/>
      </c:catAx>
      <c:valAx>
        <c:axId val="22228815"/>
        <c:scaling>
          <c:orientation val="minMax"/>
          <c:max val="1"/>
        </c:scaling>
        <c:axPos val="l"/>
        <c:majorGridlines/>
        <c:delete val="0"/>
        <c:numFmt formatCode="General" sourceLinked="1"/>
        <c:majorTickMark val="cross"/>
        <c:minorTickMark val="none"/>
        <c:tickLblPos val="none"/>
        <c:spPr>
          <a:ln w="3175">
            <a:solidFill>
              <a:srgbClr val="000000"/>
            </a:solidFill>
          </a:ln>
        </c:spPr>
        <c:crossAx val="32296030"/>
        <c:crossesAt val="1"/>
        <c:crossBetween val="between"/>
        <c:dispUnits/>
      </c:valAx>
      <c:spPr>
        <a:gradFill rotWithShape="1">
          <a:gsLst>
            <a:gs pos="0">
              <a:srgbClr val="CCFFFF"/>
            </a:gs>
            <a:gs pos="100000">
              <a:srgbClr val="FFCC99"/>
            </a:gs>
          </a:gsLst>
          <a:lin ang="5400000" scaled="1"/>
        </a:gradFill>
        <a:ln w="3175">
          <a:noFill/>
        </a:ln>
      </c:spPr>
    </c:plotArea>
    <c:plotVisOnly val="1"/>
    <c:dispBlanksAs val="gap"/>
    <c:showDLblsOverMax val="0"/>
  </c:chart>
  <c:spPr>
    <a:no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NEGHOSCORE</a:t>
            </a:r>
          </a:p>
        </c:rich>
      </c:tx>
      <c:layout/>
      <c:spPr>
        <a:noFill/>
        <a:ln w="3175">
          <a:noFill/>
        </a:ln>
      </c:spPr>
    </c:title>
    <c:plotArea>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cat>
            <c:strLit>
              <c:ptCount val="4"/>
              <c:pt idx="0">
                <c:v>EFFICACITE DU MANAGEMENT</c:v>
              </c:pt>
              <c:pt idx="1">
                <c:v>QUALITE OUTIL DE TRAVAIL</c:v>
              </c:pt>
              <c:pt idx="2">
                <c:v>MOYENS COMMERCIAUX                                          ET STRATEGIE MARKETING</c:v>
              </c:pt>
              <c:pt idx="3">
                <c:v>CARACTERISTIQUES ECONOMIQUES                 DE L' EXPLOITATION</c:v>
              </c:pt>
            </c:strLit>
          </c:cat>
          <c:val>
            <c:numLit>
              <c:ptCount val="4"/>
              <c:pt idx="0">
                <c:v>0</c:v>
              </c:pt>
              <c:pt idx="1">
                <c:v>0</c:v>
              </c:pt>
              <c:pt idx="2">
                <c:v>0</c:v>
              </c:pt>
              <c:pt idx="3">
                <c:v>0</c:v>
              </c:pt>
            </c:numLit>
          </c:val>
        </c:ser>
        <c:ser>
          <c:idx val="1"/>
          <c:order val="1"/>
          <c:spPr>
            <a:gradFill rotWithShape="1">
              <a:gsLst>
                <a:gs pos="0">
                  <a:srgbClr val="FFFF99"/>
                </a:gs>
                <a:gs pos="100000">
                  <a:srgbClr val="FF9900"/>
                </a:gs>
              </a:gsLst>
              <a:lin ang="5400000" scaled="1"/>
            </a:grad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txPr>
              <a:bodyPr vert="horz" rot="0" anchor="ctr"/>
              <a:lstStyle/>
              <a:p>
                <a:pPr algn="ctr">
                  <a:defRPr lang="en-US" cap="none" sz="150" b="1" i="0" u="none" baseline="0">
                    <a:solidFill>
                      <a:srgbClr val="339966"/>
                    </a:solidFill>
                    <a:latin typeface="Arial"/>
                    <a:ea typeface="Arial"/>
                    <a:cs typeface="Arial"/>
                  </a:defRPr>
                </a:pPr>
              </a:p>
            </c:txPr>
            <c:showLegendKey val="0"/>
            <c:showVal val="1"/>
            <c:showBubbleSize val="0"/>
            <c:showCatName val="0"/>
            <c:showSerName val="0"/>
            <c:showPercent val="0"/>
          </c:dLbls>
          <c:cat>
            <c:strLit>
              <c:ptCount val="4"/>
              <c:pt idx="0">
                <c:v>EFFICACITE DU MANAGEMENT</c:v>
              </c:pt>
              <c:pt idx="1">
                <c:v>QUALITE OUTIL DE TRAVAIL</c:v>
              </c:pt>
              <c:pt idx="2">
                <c:v>MOYENS COMMERCIAUX                                          ET STRATEGIE MARKETING</c:v>
              </c:pt>
              <c:pt idx="3">
                <c:v>CARACTERISTIQUES ECONOMIQUES                 DE L' EXPLOITATION</c:v>
              </c:pt>
            </c:strLit>
          </c:cat>
          <c:val>
            <c:numLit>
              <c:ptCount val="4"/>
              <c:pt idx="0">
                <c:v>0.777777777777777</c:v>
              </c:pt>
              <c:pt idx="1">
                <c:v>0.6375</c:v>
              </c:pt>
              <c:pt idx="2">
                <c:v>0.392857142857142</c:v>
              </c:pt>
              <c:pt idx="3">
                <c:v>0.388888888888889</c:v>
              </c:pt>
            </c:numLit>
          </c:val>
        </c:ser>
        <c:axId val="65841608"/>
        <c:axId val="55703561"/>
      </c:radarChart>
      <c:catAx>
        <c:axId val="65841608"/>
        <c:scaling>
          <c:orientation val="minMax"/>
        </c:scaling>
        <c:axPos val="b"/>
        <c:majorGridlines>
          <c:spPr>
            <a:ln w="3175">
              <a:solidFill>
                <a:srgbClr val="000000"/>
              </a:solidFill>
            </a:ln>
          </c:spPr>
        </c:majorGridlines>
        <c:delete val="0"/>
        <c:numFmt formatCode="@" sourceLinked="0"/>
        <c:majorTickMark val="out"/>
        <c:minorTickMark val="none"/>
        <c:tickLblPos val="nextTo"/>
        <c:spPr>
          <a:ln w="3175">
            <a:solidFill>
              <a:srgbClr val="808080"/>
            </a:solidFill>
          </a:ln>
        </c:spPr>
        <c:txPr>
          <a:bodyPr vert="horz" rot="0"/>
          <a:lstStyle/>
          <a:p>
            <a:pPr>
              <a:defRPr lang="en-US" cap="none" sz="225" b="1" i="0" u="none" baseline="0">
                <a:solidFill>
                  <a:srgbClr val="FFFF00"/>
                </a:solidFill>
              </a:defRPr>
            </a:pPr>
          </a:p>
        </c:txPr>
        <c:crossAx val="55703561"/>
        <c:crosses val="autoZero"/>
        <c:auto val="0"/>
        <c:lblOffset val="100"/>
        <c:tickLblSkip val="1"/>
        <c:noMultiLvlLbl val="0"/>
      </c:catAx>
      <c:valAx>
        <c:axId val="55703561"/>
        <c:scaling>
          <c:orientation val="minMax"/>
          <c:max val="1"/>
        </c:scaling>
        <c:axPos val="l"/>
        <c:majorGridlines/>
        <c:delete val="0"/>
        <c:numFmt formatCode="General" sourceLinked="1"/>
        <c:majorTickMark val="none"/>
        <c:minorTickMark val="none"/>
        <c:tickLblPos val="none"/>
        <c:spPr>
          <a:ln w="3175">
            <a:solidFill>
              <a:srgbClr val="000000"/>
            </a:solidFill>
          </a:ln>
        </c:spPr>
        <c:crossAx val="65841608"/>
        <c:crossesAt val="1"/>
        <c:crossBetween val="between"/>
        <c:dispUnits/>
      </c:valAx>
      <c:spPr>
        <a:gradFill rotWithShape="1">
          <a:gsLst>
            <a:gs pos="0">
              <a:srgbClr val="CCFFFF"/>
            </a:gs>
            <a:gs pos="100000">
              <a:srgbClr val="FFCC99"/>
            </a:gs>
          </a:gsLst>
          <a:lin ang="5400000" scaled="1"/>
        </a:gradFill>
        <a:ln w="3175">
          <a:noFill/>
        </a:ln>
      </c:spPr>
    </c:plotArea>
    <c:plotVisOnly val="1"/>
    <c:dispBlanksAs val="gap"/>
    <c:showDLblsOverMax val="0"/>
  </c:chart>
  <c:spPr>
    <a:solidFill>
      <a:srgbClr val="C0C0C0"/>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6</xdr:row>
      <xdr:rowOff>19050</xdr:rowOff>
    </xdr:from>
    <xdr:to>
      <xdr:col>7</xdr:col>
      <xdr:colOff>266700</xdr:colOff>
      <xdr:row>21</xdr:row>
      <xdr:rowOff>133350</xdr:rowOff>
    </xdr:to>
    <xdr:graphicFrame>
      <xdr:nvGraphicFramePr>
        <xdr:cNvPr id="1" name="Graphique 1"/>
        <xdr:cNvGraphicFramePr/>
      </xdr:nvGraphicFramePr>
      <xdr:xfrm>
        <a:off x="542925" y="1409700"/>
        <a:ext cx="7839075" cy="4705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32</xdr:row>
      <xdr:rowOff>0</xdr:rowOff>
    </xdr:from>
    <xdr:to>
      <xdr:col>6</xdr:col>
      <xdr:colOff>400050</xdr:colOff>
      <xdr:row>32</xdr:row>
      <xdr:rowOff>0</xdr:rowOff>
    </xdr:to>
    <xdr:graphicFrame>
      <xdr:nvGraphicFramePr>
        <xdr:cNvPr id="1" name="Graphique 1"/>
        <xdr:cNvGraphicFramePr/>
      </xdr:nvGraphicFramePr>
      <xdr:xfrm>
        <a:off x="276225" y="10991850"/>
        <a:ext cx="86677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2'!A1"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3'!A1"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4'!A1"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5bis'!A1" TargetMode="External" /><Relationship Id="rId3" Type="http://schemas.openxmlformats.org/officeDocument/2006/relationships/hyperlink" Target="../../crigon/AppData/Local/Microsoft/Windows/Temporary%20Internet%20Files/Content.Outlook/561ZWL1Y/NeghoscoreHotelBureau.xls#'17'!A1"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5bis'!A1" TargetMode="External" /><Relationship Id="rId3" Type="http://schemas.openxmlformats.org/officeDocument/2006/relationships/hyperlink" Target="../../crigon/AppData/Local/Microsoft/Windows/Temporary%20Internet%20Files/Content.Outlook/561ZWL1Y/NeghoscoreHotelBureau.xls#'17'!A1"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5bis'!A1" TargetMode="External" /><Relationship Id="rId3" Type="http://schemas.openxmlformats.org/officeDocument/2006/relationships/hyperlink" Target="../../crigon/AppData/Local/Microsoft/Windows/Temporary%20Internet%20Files/Content.Outlook/561ZWL1Y/NeghoscoreHotelBureau.xls#'20'!A1" TargetMode="Externa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5bis'!A1" TargetMode="External" /><Relationship Id="rId3" Type="http://schemas.openxmlformats.org/officeDocument/2006/relationships/hyperlink" Target="../../crigon/AppData/Local/Microsoft/Windows/Temporary%20Internet%20Files/Content.Outlook/561ZWL1Y/NeghoscoreHotelBureau.xls#'17'!A1" TargetMode="Externa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2'!A1"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4'!A1"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6'!A1" TargetMode="Externa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7'!A1" TargetMode="Externa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28'!A1" TargetMode="Externa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hyperlink" Target="../../crigon/AppData/Local/Microsoft/Windows/Temporary%20Internet%20Files/Content.Outlook/561ZWL1Y/NeghoscoreHotelBureau.xls#'4'!A1" TargetMode="External" /><Relationship Id="rId4" Type="http://schemas.openxmlformats.org/officeDocument/2006/relationships/hyperlink" Target="http://www.lhotellerie-restauration.fr/journal/juridique-social-droit/2014-05/Comment-appliquer-les-taux-de-TVA-en-restauration.htm?fd=taux%20and%20tva" TargetMode="External" /><Relationship Id="rId5"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0%20-%20RESULTAT'!A1" TargetMode="External" /><Relationship Id="rId3" Type="http://schemas.openxmlformats.org/officeDocument/2006/relationships/drawing" Target="../drawings/drawing1.xml" /><Relationship Id="rId4"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0%20-%20RESULTAT'!A1" TargetMode="External" /><Relationship Id="rId3" Type="http://schemas.openxmlformats.org/officeDocument/2006/relationships/drawing" Target="../drawings/drawing2.xml" /><Relationship Id="rId4"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hyperlink" Target="../../crigon/AppData/Local/Microsoft/Windows/Temporary%20Internet%20Files/Content.Outlook/561ZWL1Y/NeghoscoreHotelBureau.xls#'7'!A1"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3'!A1" TargetMode="External" /><Relationship Id="rId3" Type="http://schemas.openxmlformats.org/officeDocument/2006/relationships/hyperlink" Target="../../crigon/AppData/Local/Microsoft/Windows/Temporary%20Internet%20Files/Content.Outlook/561ZWL1Y/NeghoscoreHotelBureau.xls#'4'!A1"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crigon/AppData/Local/Microsoft/Windows/Temporary%20Internet%20Files/Content.Outlook/561ZWL1Y/calcul_prime_d_objectif.xls#'1-CA'!A11" TargetMode="External" /><Relationship Id="rId2" Type="http://schemas.openxmlformats.org/officeDocument/2006/relationships/hyperlink" Target="../../crigon/AppData/Local/Microsoft/Windows/Temporary%20Internet%20Files/Content.Outlook/561ZWL1Y/NeghoscoreHotelBureau.xls#'10'!A1"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9"/>
  <sheetViews>
    <sheetView showGridLines="0" zoomScalePageLayoutView="0" workbookViewId="0" topLeftCell="A1">
      <selection activeCell="A1" sqref="A1:H1"/>
    </sheetView>
  </sheetViews>
  <sheetFormatPr defaultColWidth="11.421875" defaultRowHeight="12.75"/>
  <cols>
    <col min="1" max="8" width="11.7109375" style="22" customWidth="1"/>
    <col min="9" max="9" width="3.28125" style="22" customWidth="1"/>
    <col min="10" max="16384" width="11.421875" style="22" customWidth="1"/>
  </cols>
  <sheetData>
    <row r="1" spans="1:8" ht="34.5" customHeight="1">
      <c r="A1" s="439" t="s">
        <v>92</v>
      </c>
      <c r="B1" s="439"/>
      <c r="C1" s="439"/>
      <c r="D1" s="439"/>
      <c r="E1" s="439"/>
      <c r="F1" s="439"/>
      <c r="G1" s="439"/>
      <c r="H1" s="439"/>
    </row>
    <row r="2" spans="1:7" ht="15" customHeight="1">
      <c r="A2" s="23"/>
      <c r="B2" s="23"/>
      <c r="C2" s="23"/>
      <c r="D2" s="23"/>
      <c r="E2" s="23"/>
      <c r="F2" s="23"/>
      <c r="G2" s="23"/>
    </row>
    <row r="3" spans="1:8" ht="15" customHeight="1">
      <c r="A3" s="24" t="s">
        <v>44</v>
      </c>
      <c r="B3" s="24"/>
      <c r="C3" s="24"/>
      <c r="D3" s="24"/>
      <c r="E3" s="24"/>
      <c r="F3" s="24"/>
      <c r="G3" s="24"/>
      <c r="H3" s="24"/>
    </row>
    <row r="4" spans="1:7" ht="15" customHeight="1">
      <c r="A4" s="23" t="s">
        <v>150</v>
      </c>
      <c r="B4" s="23"/>
      <c r="C4" s="23"/>
      <c r="D4" s="23"/>
      <c r="E4" s="23"/>
      <c r="F4" s="23"/>
      <c r="G4" s="23"/>
    </row>
    <row r="5" spans="1:7" ht="15" customHeight="1">
      <c r="A5" s="23" t="s">
        <v>151</v>
      </c>
      <c r="B5" s="23"/>
      <c r="C5" s="23"/>
      <c r="D5" s="23"/>
      <c r="E5" s="23"/>
      <c r="F5" s="23"/>
      <c r="G5" s="23"/>
    </row>
    <row r="6" spans="1:7" ht="15" customHeight="1">
      <c r="A6" s="23" t="s">
        <v>155</v>
      </c>
      <c r="B6" s="23"/>
      <c r="C6" s="23"/>
      <c r="D6" s="23"/>
      <c r="E6" s="23"/>
      <c r="F6" s="23"/>
      <c r="G6" s="23"/>
    </row>
    <row r="7" spans="1:7" ht="15" customHeight="1">
      <c r="A7" s="23" t="s">
        <v>156</v>
      </c>
      <c r="B7" s="23"/>
      <c r="C7" s="23"/>
      <c r="D7" s="23"/>
      <c r="E7" s="23"/>
      <c r="F7" s="23"/>
      <c r="G7" s="23"/>
    </row>
    <row r="8" spans="1:7" ht="15" customHeight="1">
      <c r="A8" s="23" t="s">
        <v>157</v>
      </c>
      <c r="B8" s="23"/>
      <c r="C8" s="23"/>
      <c r="D8" s="23"/>
      <c r="E8" s="23"/>
      <c r="F8" s="23"/>
      <c r="G8" s="23"/>
    </row>
    <row r="9" spans="1:7" ht="15" customHeight="1">
      <c r="A9" s="23" t="s">
        <v>161</v>
      </c>
      <c r="B9" s="23"/>
      <c r="C9" s="23"/>
      <c r="D9" s="23"/>
      <c r="E9" s="23"/>
      <c r="F9" s="23"/>
      <c r="G9" s="23"/>
    </row>
    <row r="10" spans="1:7" ht="15" customHeight="1">
      <c r="A10" s="23" t="s">
        <v>45</v>
      </c>
      <c r="B10" s="23"/>
      <c r="C10" s="23"/>
      <c r="D10" s="23"/>
      <c r="E10" s="23"/>
      <c r="F10" s="23"/>
      <c r="G10" s="23"/>
    </row>
    <row r="11" spans="1:7" ht="15" customHeight="1" thickBot="1">
      <c r="A11" s="23"/>
      <c r="B11" s="23"/>
      <c r="C11" s="23"/>
      <c r="D11" s="23"/>
      <c r="E11" s="23"/>
      <c r="F11" s="23"/>
      <c r="G11" s="23"/>
    </row>
    <row r="12" spans="1:7" ht="15" customHeight="1" thickTop="1">
      <c r="A12" s="23"/>
      <c r="B12" s="440" t="s">
        <v>46</v>
      </c>
      <c r="C12" s="441"/>
      <c r="D12" s="441"/>
      <c r="E12" s="441"/>
      <c r="F12" s="441"/>
      <c r="G12" s="442"/>
    </row>
    <row r="13" spans="1:7" ht="15" customHeight="1" thickBot="1">
      <c r="A13" s="23"/>
      <c r="B13" s="446" t="s">
        <v>327</v>
      </c>
      <c r="C13" s="447"/>
      <c r="D13" s="447"/>
      <c r="E13" s="447"/>
      <c r="F13" s="447"/>
      <c r="G13" s="448"/>
    </row>
    <row r="14" spans="1:7" ht="15" customHeight="1" thickTop="1">
      <c r="A14" s="23"/>
      <c r="B14" s="23"/>
      <c r="C14" s="23"/>
      <c r="D14" s="23"/>
      <c r="E14" s="23"/>
      <c r="F14" s="23"/>
      <c r="G14" s="23"/>
    </row>
    <row r="15" spans="1:7" ht="15" customHeight="1">
      <c r="A15" s="23" t="s">
        <v>162</v>
      </c>
      <c r="B15" s="23"/>
      <c r="C15" s="23"/>
      <c r="D15" s="23"/>
      <c r="E15" s="23"/>
      <c r="F15" s="23"/>
      <c r="G15" s="23"/>
    </row>
    <row r="16" spans="1:7" ht="15" customHeight="1">
      <c r="A16" s="23" t="s">
        <v>163</v>
      </c>
      <c r="B16" s="23"/>
      <c r="C16" s="23"/>
      <c r="D16" s="23"/>
      <c r="E16" s="23"/>
      <c r="F16" s="23"/>
      <c r="G16" s="23"/>
    </row>
    <row r="17" spans="1:7" ht="15" customHeight="1">
      <c r="A17" s="23" t="s">
        <v>164</v>
      </c>
      <c r="B17" s="23"/>
      <c r="C17" s="23"/>
      <c r="D17" s="23"/>
      <c r="E17" s="23"/>
      <c r="F17" s="23"/>
      <c r="G17" s="23"/>
    </row>
    <row r="18" spans="1:7" ht="15" customHeight="1">
      <c r="A18" s="23" t="s">
        <v>165</v>
      </c>
      <c r="B18" s="23"/>
      <c r="C18" s="23"/>
      <c r="D18" s="23"/>
      <c r="E18" s="23"/>
      <c r="F18" s="23"/>
      <c r="G18" s="23"/>
    </row>
    <row r="19" spans="1:7" ht="15" customHeight="1">
      <c r="A19" s="23" t="s">
        <v>166</v>
      </c>
      <c r="B19" s="23"/>
      <c r="C19" s="23"/>
      <c r="D19" s="23"/>
      <c r="E19" s="23"/>
      <c r="F19" s="23"/>
      <c r="G19" s="23"/>
    </row>
    <row r="20" spans="1:7" ht="15" customHeight="1">
      <c r="A20" s="23" t="s">
        <v>194</v>
      </c>
      <c r="B20" s="23"/>
      <c r="C20" s="23"/>
      <c r="D20" s="23"/>
      <c r="E20" s="23"/>
      <c r="F20" s="23"/>
      <c r="G20" s="23"/>
    </row>
    <row r="21" spans="1:7" ht="15" customHeight="1">
      <c r="A21" s="23" t="s">
        <v>195</v>
      </c>
      <c r="B21" s="23"/>
      <c r="C21" s="23"/>
      <c r="D21" s="23"/>
      <c r="E21" s="23"/>
      <c r="F21" s="23"/>
      <c r="G21" s="23"/>
    </row>
    <row r="22" spans="1:7" ht="15" customHeight="1">
      <c r="A22" s="23"/>
      <c r="B22" s="23"/>
      <c r="C22" s="23"/>
      <c r="D22" s="23"/>
      <c r="E22" s="23"/>
      <c r="F22" s="23"/>
      <c r="G22" s="23"/>
    </row>
    <row r="23" spans="1:7" ht="15" customHeight="1">
      <c r="A23" s="23" t="s">
        <v>47</v>
      </c>
      <c r="B23" s="23"/>
      <c r="C23" s="23"/>
      <c r="D23" s="23"/>
      <c r="E23" s="23"/>
      <c r="F23" s="23"/>
      <c r="G23" s="23"/>
    </row>
    <row r="24" spans="1:7" ht="15" customHeight="1">
      <c r="A24" s="23" t="s">
        <v>48</v>
      </c>
      <c r="B24" s="23"/>
      <c r="C24" s="23"/>
      <c r="D24" s="23"/>
      <c r="E24" s="23"/>
      <c r="F24" s="23"/>
      <c r="G24" s="23"/>
    </row>
    <row r="25" spans="1:7" ht="15" customHeight="1">
      <c r="A25" s="23" t="s">
        <v>196</v>
      </c>
      <c r="B25" s="23"/>
      <c r="C25" s="23"/>
      <c r="D25" s="23"/>
      <c r="E25" s="23"/>
      <c r="F25" s="23"/>
      <c r="G25" s="23"/>
    </row>
    <row r="26" spans="1:7" ht="15" customHeight="1" thickBot="1">
      <c r="A26" s="23"/>
      <c r="B26" s="449"/>
      <c r="C26" s="449"/>
      <c r="D26" s="449"/>
      <c r="E26" s="449"/>
      <c r="F26" s="449"/>
      <c r="G26" s="23"/>
    </row>
    <row r="27" spans="1:7" ht="15" customHeight="1" thickTop="1">
      <c r="A27" s="23"/>
      <c r="B27" s="440" t="s">
        <v>149</v>
      </c>
      <c r="C27" s="441"/>
      <c r="D27" s="441"/>
      <c r="E27" s="441"/>
      <c r="F27" s="441"/>
      <c r="G27" s="442"/>
    </row>
    <row r="28" spans="1:7" ht="15" customHeight="1">
      <c r="A28" s="25"/>
      <c r="B28" s="443" t="s">
        <v>49</v>
      </c>
      <c r="C28" s="444"/>
      <c r="D28" s="444"/>
      <c r="E28" s="444"/>
      <c r="F28" s="444"/>
      <c r="G28" s="445"/>
    </row>
    <row r="29" spans="1:7" ht="15" customHeight="1" thickBot="1">
      <c r="A29" s="23"/>
      <c r="B29" s="446" t="s">
        <v>197</v>
      </c>
      <c r="C29" s="447"/>
      <c r="D29" s="447"/>
      <c r="E29" s="447"/>
      <c r="F29" s="447"/>
      <c r="G29" s="448"/>
    </row>
    <row r="30" spans="1:7" ht="15" customHeight="1" thickTop="1">
      <c r="A30" s="26"/>
      <c r="B30" s="27"/>
      <c r="C30" s="28"/>
      <c r="D30" s="28"/>
      <c r="E30" s="28"/>
      <c r="F30" s="23"/>
      <c r="G30" s="23"/>
    </row>
    <row r="31" spans="1:7" ht="15" customHeight="1">
      <c r="A31" s="23" t="s">
        <v>50</v>
      </c>
      <c r="B31" s="29"/>
      <c r="C31" s="23"/>
      <c r="D31" s="23"/>
      <c r="E31" s="23"/>
      <c r="F31" s="23"/>
      <c r="G31" s="23"/>
    </row>
    <row r="32" spans="1:7" ht="15" customHeight="1">
      <c r="A32" s="23" t="s">
        <v>199</v>
      </c>
      <c r="B32" s="23"/>
      <c r="C32" s="29"/>
      <c r="D32" s="23"/>
      <c r="E32" s="23"/>
      <c r="F32" s="23"/>
      <c r="G32" s="23"/>
    </row>
    <row r="33" spans="1:7" ht="15" customHeight="1" thickBot="1">
      <c r="A33" s="23"/>
      <c r="B33" s="23"/>
      <c r="C33" s="29"/>
      <c r="D33" s="23"/>
      <c r="E33" s="23"/>
      <c r="F33" s="23"/>
      <c r="G33" s="23"/>
    </row>
    <row r="34" spans="1:7" ht="15" customHeight="1" thickTop="1">
      <c r="A34" s="23"/>
      <c r="B34" s="425" t="s">
        <v>51</v>
      </c>
      <c r="C34" s="426"/>
      <c r="D34" s="426"/>
      <c r="E34" s="426"/>
      <c r="F34" s="426"/>
      <c r="G34" s="427"/>
    </row>
    <row r="35" spans="1:7" ht="15" customHeight="1" thickBot="1">
      <c r="A35" s="30"/>
      <c r="B35" s="428" t="s">
        <v>52</v>
      </c>
      <c r="C35" s="429"/>
      <c r="D35" s="429"/>
      <c r="E35" s="429"/>
      <c r="F35" s="429"/>
      <c r="G35" s="430"/>
    </row>
    <row r="36" spans="1:7" ht="15" customHeight="1" thickTop="1">
      <c r="A36" s="23"/>
      <c r="B36" s="31"/>
      <c r="C36" s="28"/>
      <c r="D36" s="23"/>
      <c r="E36" s="23"/>
      <c r="F36" s="23"/>
      <c r="G36" s="23"/>
    </row>
    <row r="37" spans="1:7" ht="15" customHeight="1">
      <c r="A37" s="32" t="s">
        <v>53</v>
      </c>
      <c r="B37" s="23"/>
      <c r="C37" s="23"/>
      <c r="D37" s="23"/>
      <c r="E37" s="23"/>
      <c r="F37" s="23"/>
      <c r="G37" s="23"/>
    </row>
    <row r="38" spans="1:7" ht="15" customHeight="1">
      <c r="A38" s="23" t="s">
        <v>198</v>
      </c>
      <c r="B38" s="23"/>
      <c r="C38" s="23"/>
      <c r="D38" s="23"/>
      <c r="E38" s="23"/>
      <c r="F38" s="23"/>
      <c r="G38" s="23"/>
    </row>
    <row r="39" spans="1:7" ht="15" customHeight="1">
      <c r="A39" s="23" t="s">
        <v>200</v>
      </c>
      <c r="B39" s="23"/>
      <c r="C39" s="23"/>
      <c r="D39" s="23"/>
      <c r="E39" s="23"/>
      <c r="F39" s="23"/>
      <c r="G39" s="23"/>
    </row>
    <row r="40" spans="1:7" ht="15" customHeight="1">
      <c r="A40" s="23" t="s">
        <v>201</v>
      </c>
      <c r="B40" s="23"/>
      <c r="C40" s="23"/>
      <c r="D40" s="23"/>
      <c r="E40" s="23"/>
      <c r="F40" s="23"/>
      <c r="G40" s="23"/>
    </row>
    <row r="41" spans="1:7" ht="15" customHeight="1">
      <c r="A41" s="23"/>
      <c r="B41" s="23"/>
      <c r="C41" s="23"/>
      <c r="D41" s="23"/>
      <c r="E41" s="23"/>
      <c r="F41" s="23"/>
      <c r="G41" s="23"/>
    </row>
    <row r="42" spans="1:7" ht="15" customHeight="1">
      <c r="A42" s="23" t="s">
        <v>202</v>
      </c>
      <c r="B42" s="23"/>
      <c r="C42" s="23"/>
      <c r="D42" s="23"/>
      <c r="E42" s="23"/>
      <c r="F42" s="23"/>
      <c r="G42" s="23"/>
    </row>
    <row r="43" spans="1:7" ht="15" customHeight="1">
      <c r="A43" s="33" t="s">
        <v>36</v>
      </c>
      <c r="B43" s="23"/>
      <c r="C43" s="23"/>
      <c r="D43" s="23"/>
      <c r="E43" s="23"/>
      <c r="F43" s="23"/>
      <c r="G43" s="23"/>
    </row>
    <row r="44" spans="1:7" ht="15" customHeight="1">
      <c r="A44" s="23" t="s">
        <v>54</v>
      </c>
      <c r="B44" s="23"/>
      <c r="C44" s="23"/>
      <c r="D44" s="23"/>
      <c r="E44" s="23"/>
      <c r="F44" s="23"/>
      <c r="G44" s="23"/>
    </row>
    <row r="45" spans="1:7" ht="15" customHeight="1">
      <c r="A45" s="23" t="s">
        <v>203</v>
      </c>
      <c r="B45" s="23"/>
      <c r="C45" s="23"/>
      <c r="D45" s="23"/>
      <c r="E45" s="23"/>
      <c r="F45" s="23"/>
      <c r="G45" s="23"/>
    </row>
    <row r="46" spans="1:7" ht="15" customHeight="1">
      <c r="A46" s="32" t="s">
        <v>204</v>
      </c>
      <c r="B46" s="23"/>
      <c r="C46" s="23"/>
      <c r="D46" s="23"/>
      <c r="E46" s="23"/>
      <c r="F46" s="23"/>
      <c r="G46" s="23"/>
    </row>
    <row r="47" spans="1:7" ht="15" customHeight="1">
      <c r="A47" s="32" t="s">
        <v>205</v>
      </c>
      <c r="B47" s="23"/>
      <c r="C47" s="23"/>
      <c r="D47" s="23"/>
      <c r="E47" s="23"/>
      <c r="F47" s="23"/>
      <c r="G47" s="23"/>
    </row>
    <row r="48" spans="1:7" ht="15" customHeight="1">
      <c r="A48" s="32" t="s">
        <v>206</v>
      </c>
      <c r="B48" s="23"/>
      <c r="C48" s="23"/>
      <c r="D48" s="23"/>
      <c r="E48" s="23"/>
      <c r="F48" s="23"/>
      <c r="G48" s="23"/>
    </row>
    <row r="49" spans="1:7" ht="15" customHeight="1">
      <c r="A49" s="32" t="s">
        <v>207</v>
      </c>
      <c r="B49" s="23"/>
      <c r="C49" s="23"/>
      <c r="D49" s="23"/>
      <c r="E49" s="23"/>
      <c r="F49" s="23"/>
      <c r="G49" s="23"/>
    </row>
    <row r="50" spans="1:7" ht="15" customHeight="1">
      <c r="A50" s="23"/>
      <c r="B50" s="23"/>
      <c r="C50" s="23"/>
      <c r="D50" s="23"/>
      <c r="E50" s="23"/>
      <c r="F50" s="23"/>
      <c r="G50" s="23"/>
    </row>
    <row r="51" spans="1:7" ht="15" customHeight="1">
      <c r="A51" s="23" t="s">
        <v>55</v>
      </c>
      <c r="B51" s="23"/>
      <c r="C51" s="23"/>
      <c r="D51" s="23"/>
      <c r="E51" s="23"/>
      <c r="F51" s="23"/>
      <c r="G51" s="23"/>
    </row>
    <row r="52" spans="1:7" ht="15" customHeight="1">
      <c r="A52" s="23" t="s">
        <v>56</v>
      </c>
      <c r="B52" s="23"/>
      <c r="C52" s="23"/>
      <c r="D52" s="23"/>
      <c r="E52" s="23"/>
      <c r="F52" s="23"/>
      <c r="G52" s="23"/>
    </row>
    <row r="53" spans="1:7" ht="15" customHeight="1">
      <c r="A53" s="23" t="s">
        <v>57</v>
      </c>
      <c r="B53" s="23"/>
      <c r="C53" s="23"/>
      <c r="D53" s="23"/>
      <c r="E53" s="23"/>
      <c r="F53" s="23"/>
      <c r="G53" s="23"/>
    </row>
    <row r="54" spans="1:7" ht="15" customHeight="1">
      <c r="A54" s="32" t="s">
        <v>58</v>
      </c>
      <c r="B54" s="23"/>
      <c r="C54" s="23"/>
      <c r="D54" s="23"/>
      <c r="E54" s="23"/>
      <c r="F54" s="23"/>
      <c r="G54" s="23"/>
    </row>
    <row r="55" spans="1:7" ht="15" customHeight="1">
      <c r="A55" s="23" t="s">
        <v>59</v>
      </c>
      <c r="B55" s="23"/>
      <c r="C55" s="23"/>
      <c r="D55" s="23"/>
      <c r="E55" s="23"/>
      <c r="F55" s="23"/>
      <c r="G55" s="23"/>
    </row>
    <row r="56" spans="1:7" ht="15" customHeight="1">
      <c r="A56" s="23" t="s">
        <v>208</v>
      </c>
      <c r="B56" s="23"/>
      <c r="C56" s="23"/>
      <c r="D56" s="23"/>
      <c r="E56" s="23"/>
      <c r="F56" s="23"/>
      <c r="G56" s="23"/>
    </row>
    <row r="57" spans="1:7" ht="15" customHeight="1">
      <c r="A57" s="23" t="s">
        <v>60</v>
      </c>
      <c r="B57" s="23"/>
      <c r="C57" s="23"/>
      <c r="D57" s="23"/>
      <c r="E57" s="23"/>
      <c r="F57" s="23"/>
      <c r="G57" s="23"/>
    </row>
    <row r="58" spans="5:7" ht="15" customHeight="1">
      <c r="E58" s="437" t="s">
        <v>209</v>
      </c>
      <c r="F58" s="437"/>
      <c r="G58" s="437"/>
    </row>
    <row r="59" spans="5:7" ht="15" customHeight="1">
      <c r="E59" s="29"/>
      <c r="F59" s="29"/>
      <c r="G59" s="29"/>
    </row>
    <row r="60" ht="25.5" customHeight="1" thickBot="1">
      <c r="A60" s="34" t="s">
        <v>281</v>
      </c>
    </row>
    <row r="61" spans="1:8" ht="63.75" customHeight="1" thickBot="1">
      <c r="A61" s="434" t="s">
        <v>360</v>
      </c>
      <c r="B61" s="435"/>
      <c r="C61" s="435"/>
      <c r="D61" s="435"/>
      <c r="E61" s="435"/>
      <c r="F61" s="435"/>
      <c r="G61" s="435"/>
      <c r="H61" s="436"/>
    </row>
    <row r="62" spans="1:8" ht="15" customHeight="1" thickBot="1">
      <c r="A62" s="35"/>
      <c r="B62" s="36"/>
      <c r="C62" s="36"/>
      <c r="D62" s="36"/>
      <c r="E62" s="36"/>
      <c r="F62" s="36"/>
      <c r="G62" s="36"/>
      <c r="H62" s="36"/>
    </row>
    <row r="63" spans="1:8" ht="66" customHeight="1" thickBot="1" thickTop="1">
      <c r="A63" s="431" t="s">
        <v>646</v>
      </c>
      <c r="B63" s="432"/>
      <c r="C63" s="432"/>
      <c r="D63" s="432"/>
      <c r="E63" s="432"/>
      <c r="F63" s="432"/>
      <c r="G63" s="432"/>
      <c r="H63" s="433"/>
    </row>
    <row r="64" spans="1:4" ht="15" customHeight="1" thickTop="1">
      <c r="A64" s="23"/>
      <c r="B64" s="23"/>
      <c r="C64" s="23"/>
      <c r="D64" s="23"/>
    </row>
    <row r="65" spans="1:8" ht="19.5" customHeight="1">
      <c r="A65" s="438" t="s">
        <v>325</v>
      </c>
      <c r="B65" s="438"/>
      <c r="C65" s="438"/>
      <c r="D65" s="438"/>
      <c r="E65" s="438"/>
      <c r="F65" s="438"/>
      <c r="G65" s="438"/>
      <c r="H65" s="438"/>
    </row>
    <row r="66" spans="1:8" ht="12">
      <c r="A66" s="38" t="s">
        <v>211</v>
      </c>
      <c r="B66" s="38"/>
      <c r="H66" s="39" t="s">
        <v>152</v>
      </c>
    </row>
    <row r="67" spans="1:8" ht="12">
      <c r="A67" s="423"/>
      <c r="B67" s="423"/>
      <c r="C67" s="423"/>
      <c r="D67" s="423"/>
      <c r="E67" s="423"/>
      <c r="F67" s="423"/>
      <c r="G67" s="423"/>
      <c r="H67" s="423"/>
    </row>
    <row r="68" spans="1:8" ht="12">
      <c r="A68" s="424" t="s">
        <v>470</v>
      </c>
      <c r="B68" s="424"/>
      <c r="C68" s="424"/>
      <c r="D68" s="424"/>
      <c r="E68" s="424"/>
      <c r="F68" s="424"/>
      <c r="G68" s="424"/>
      <c r="H68" s="424"/>
    </row>
    <row r="69" spans="1:10" ht="12.75" customHeight="1">
      <c r="A69" s="41"/>
      <c r="B69" s="42"/>
      <c r="C69" s="42"/>
      <c r="D69" s="42"/>
      <c r="E69" s="42"/>
      <c r="F69" s="42"/>
      <c r="G69" s="42"/>
      <c r="H69" s="42"/>
      <c r="I69" s="42"/>
      <c r="J69" s="42"/>
    </row>
  </sheetData>
  <sheetProtection password="DF64" sheet="1"/>
  <mergeCells count="15">
    <mergeCell ref="A1:H1"/>
    <mergeCell ref="B27:G27"/>
    <mergeCell ref="B28:G28"/>
    <mergeCell ref="B29:G29"/>
    <mergeCell ref="B12:G12"/>
    <mergeCell ref="B13:G13"/>
    <mergeCell ref="B26:F26"/>
    <mergeCell ref="A67:H67"/>
    <mergeCell ref="A68:H68"/>
    <mergeCell ref="B34:G34"/>
    <mergeCell ref="B35:G35"/>
    <mergeCell ref="A63:H63"/>
    <mergeCell ref="A61:H61"/>
    <mergeCell ref="E58:G58"/>
    <mergeCell ref="A65:H65"/>
  </mergeCells>
  <hyperlinks>
    <hyperlink ref="A65" r:id="rId1" display="Cliquez ici pour commencer"/>
    <hyperlink ref="A65:F65" r:id="rId2" display="Cliquez ici pour commencer"/>
    <hyperlink ref="A65:H65" location="'2'!A1" display="Cliquez ici pour commencer"/>
    <hyperlink ref="H66" location="'2'!A1" display="page suivante"/>
  </hyperlinks>
  <printOptions horizontalCentered="1"/>
  <pageMargins left="0.7874015748031497" right="0.7874015748031497" top="0.5905511811023623" bottom="0.5905511811023623" header="0.31496062992125984" footer="0.31496062992125984"/>
  <pageSetup fitToHeight="1" fitToWidth="1"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10.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34" sqref="D34"/>
    </sheetView>
  </sheetViews>
  <sheetFormatPr defaultColWidth="11.421875" defaultRowHeight="12.75"/>
  <cols>
    <col min="1" max="4" width="30.7109375" style="22" customWidth="1"/>
    <col min="5" max="5" width="15.7109375" style="22" customWidth="1"/>
    <col min="6" max="6" width="12.28125" style="22" bestFit="1" customWidth="1"/>
    <col min="7" max="16384" width="11.421875" style="22" customWidth="1"/>
  </cols>
  <sheetData>
    <row r="1" spans="1:5" ht="34.5" customHeight="1">
      <c r="A1" s="511" t="s">
        <v>599</v>
      </c>
      <c r="B1" s="511"/>
      <c r="C1" s="511"/>
      <c r="D1" s="511"/>
      <c r="E1" s="117"/>
    </row>
    <row r="2" spans="1:4" ht="15" customHeight="1">
      <c r="A2" s="527" t="s">
        <v>340</v>
      </c>
      <c r="B2" s="528"/>
      <c r="C2" s="528"/>
      <c r="D2" s="528"/>
    </row>
    <row r="3" spans="1:4" ht="15" customHeight="1">
      <c r="A3" s="528"/>
      <c r="B3" s="528"/>
      <c r="C3" s="528"/>
      <c r="D3" s="528"/>
    </row>
    <row r="4" spans="1:4" ht="24.75" customHeight="1" hidden="1">
      <c r="A4" s="534"/>
      <c r="B4" s="534"/>
      <c r="C4" s="534"/>
      <c r="D4" s="534"/>
    </row>
    <row r="5" spans="1:4" ht="24.75" customHeight="1" hidden="1">
      <c r="A5" s="534"/>
      <c r="B5" s="534"/>
      <c r="C5" s="534"/>
      <c r="D5" s="534"/>
    </row>
    <row r="6" spans="1:4" ht="24.75" customHeight="1" hidden="1">
      <c r="A6" s="534"/>
      <c r="B6" s="534"/>
      <c r="C6" s="534"/>
      <c r="D6" s="534"/>
    </row>
    <row r="7" ht="15" customHeight="1"/>
    <row r="8" spans="1:4" ht="15" customHeight="1">
      <c r="A8" s="529" t="s">
        <v>246</v>
      </c>
      <c r="B8" s="529"/>
      <c r="C8" s="529"/>
      <c r="D8" s="109">
        <f>8!D8</f>
        <v>3</v>
      </c>
    </row>
    <row r="9" spans="1:4" ht="15" customHeight="1">
      <c r="A9" s="529" t="s">
        <v>467</v>
      </c>
      <c r="B9" s="529"/>
      <c r="C9" s="529"/>
      <c r="D9" s="110">
        <f>9!D8</f>
        <v>458381.3333333333</v>
      </c>
    </row>
    <row r="10" spans="1:5" ht="15" customHeight="1">
      <c r="A10" s="529" t="s">
        <v>369</v>
      </c>
      <c r="B10" s="529"/>
      <c r="C10" s="529"/>
      <c r="D10" s="119">
        <f>8!D9</f>
        <v>6</v>
      </c>
      <c r="E10" s="120"/>
    </row>
    <row r="11" spans="1:5" ht="15" customHeight="1">
      <c r="A11" s="516" t="s">
        <v>291</v>
      </c>
      <c r="B11" s="516"/>
      <c r="C11" s="516"/>
      <c r="D11" s="5">
        <f>D9/D10</f>
        <v>76396.88888888889</v>
      </c>
      <c r="E11" s="14"/>
    </row>
    <row r="12" ht="15" customHeight="1"/>
    <row r="13" spans="1:8" ht="15" customHeight="1" hidden="1">
      <c r="A13" s="532" t="s">
        <v>283</v>
      </c>
      <c r="B13" s="518"/>
      <c r="C13" s="518"/>
      <c r="D13" s="518"/>
      <c r="E13" s="518"/>
      <c r="F13" s="49"/>
      <c r="G13" s="49"/>
      <c r="H13" s="38"/>
    </row>
    <row r="14" spans="1:9" ht="15" customHeight="1" hidden="1">
      <c r="A14" s="92" t="s">
        <v>245</v>
      </c>
      <c r="B14" s="525" t="s">
        <v>32</v>
      </c>
      <c r="C14" s="526"/>
      <c r="D14" s="526"/>
      <c r="E14" s="526"/>
      <c r="F14" s="1"/>
      <c r="G14" s="1"/>
      <c r="H14" s="1"/>
      <c r="I14" s="1"/>
    </row>
    <row r="15" spans="1:9" ht="15" customHeight="1" hidden="1">
      <c r="A15" s="94" t="s">
        <v>570</v>
      </c>
      <c r="B15" s="121">
        <f>C22</f>
        <v>77000</v>
      </c>
      <c r="C15" s="122">
        <f>C22-(C22*5%)</f>
        <v>73150</v>
      </c>
      <c r="D15" s="122">
        <f>C22-(C22*10%)</f>
        <v>69300</v>
      </c>
      <c r="E15" s="122">
        <f>C22-(C22*15%)</f>
        <v>65450</v>
      </c>
      <c r="F15" s="4"/>
      <c r="G15" s="4"/>
      <c r="H15" s="4"/>
      <c r="I15" s="4"/>
    </row>
    <row r="16" spans="1:9" ht="15" customHeight="1" hidden="1">
      <c r="A16" s="123" t="s">
        <v>522</v>
      </c>
      <c r="B16" s="124">
        <v>4</v>
      </c>
      <c r="C16" s="124">
        <v>3</v>
      </c>
      <c r="D16" s="124">
        <v>2</v>
      </c>
      <c r="E16" s="124">
        <v>1</v>
      </c>
      <c r="F16" s="2"/>
      <c r="G16" s="2"/>
      <c r="H16" s="2"/>
      <c r="I16" s="2"/>
    </row>
    <row r="17" spans="2:9" ht="15" customHeight="1" hidden="1">
      <c r="B17" s="125" t="s">
        <v>217</v>
      </c>
      <c r="C17" s="126" t="s">
        <v>214</v>
      </c>
      <c r="D17" s="126" t="s">
        <v>215</v>
      </c>
      <c r="E17" s="126" t="s">
        <v>216</v>
      </c>
      <c r="F17" s="2"/>
      <c r="G17" s="2"/>
      <c r="H17" s="2"/>
      <c r="I17" s="2"/>
    </row>
    <row r="18" spans="1:9" ht="15" customHeight="1" hidden="1">
      <c r="A18" s="96" t="s">
        <v>245</v>
      </c>
      <c r="B18" s="535" t="s">
        <v>32</v>
      </c>
      <c r="C18" s="536"/>
      <c r="D18" s="536"/>
      <c r="E18" s="536"/>
      <c r="F18" s="1"/>
      <c r="G18" s="1"/>
      <c r="H18" s="1"/>
      <c r="I18" s="1"/>
    </row>
    <row r="19" spans="1:9" ht="15" customHeight="1" hidden="1">
      <c r="A19" s="98" t="s">
        <v>571</v>
      </c>
      <c r="B19" s="128">
        <f>E22</f>
        <v>87000</v>
      </c>
      <c r="C19" s="127">
        <f>E22-(E22*5%)</f>
        <v>82650</v>
      </c>
      <c r="D19" s="127">
        <f>E22-(E22*10%)</f>
        <v>78300</v>
      </c>
      <c r="E19" s="127">
        <f>E22-(E22*15%)</f>
        <v>73950</v>
      </c>
      <c r="F19" s="4"/>
      <c r="G19" s="4"/>
      <c r="H19" s="4"/>
      <c r="I19" s="15"/>
    </row>
    <row r="20" spans="1:9" ht="15" customHeight="1" hidden="1">
      <c r="A20" s="129" t="s">
        <v>523</v>
      </c>
      <c r="B20" s="129">
        <v>4</v>
      </c>
      <c r="C20" s="129">
        <v>3</v>
      </c>
      <c r="D20" s="129">
        <v>2</v>
      </c>
      <c r="E20" s="129">
        <v>1</v>
      </c>
      <c r="F20" s="2"/>
      <c r="G20" s="2"/>
      <c r="H20" s="2"/>
      <c r="I20" s="2"/>
    </row>
    <row r="21" spans="1:9" ht="15" customHeight="1" hidden="1">
      <c r="A21" s="46"/>
      <c r="B21" s="46"/>
      <c r="C21" s="46"/>
      <c r="D21" s="46"/>
      <c r="E21" s="46"/>
      <c r="F21" s="2"/>
      <c r="G21" s="2"/>
      <c r="H21" s="2"/>
      <c r="I21" s="2"/>
    </row>
    <row r="22" spans="1:9" ht="19.5" customHeight="1" hidden="1">
      <c r="A22" s="22" t="s">
        <v>351</v>
      </c>
      <c r="C22" s="130">
        <v>77000</v>
      </c>
      <c r="D22" s="101" t="s">
        <v>348</v>
      </c>
      <c r="E22" s="130">
        <v>87000</v>
      </c>
      <c r="F22" s="2"/>
      <c r="G22" s="2"/>
      <c r="H22" s="3"/>
      <c r="I22" s="2"/>
    </row>
    <row r="23" spans="1:9" ht="19.5" customHeight="1" hidden="1">
      <c r="A23" s="44"/>
      <c r="C23" s="131" t="s">
        <v>218</v>
      </c>
      <c r="E23" s="131" t="s">
        <v>219</v>
      </c>
      <c r="F23" s="2"/>
      <c r="G23" s="2"/>
      <c r="H23" s="3"/>
      <c r="I23" s="2"/>
    </row>
    <row r="24" spans="1:9" ht="19.5" customHeight="1" hidden="1">
      <c r="A24" s="132"/>
      <c r="C24" s="133">
        <f>IF(D11&gt;C15,4,IF(AND(D11&gt;D15,D11&lt;=C15),3,IF(AND(D11&gt;E15,D11&lt;=D15),2,1)))</f>
        <v>4</v>
      </c>
      <c r="E24" s="133">
        <f>IF(D11&gt;C19,4,IF(AND(D11&gt;D19,D11&lt;=C19),3,IF(AND(D11&gt;E19,D11&lt;=D19),2,1)))</f>
        <v>2</v>
      </c>
      <c r="F24" s="134"/>
      <c r="G24" s="134"/>
      <c r="H24" s="134"/>
      <c r="I24" s="134"/>
    </row>
    <row r="25" ht="15" customHeight="1" hidden="1">
      <c r="C25" s="40"/>
    </row>
    <row r="26" ht="15" customHeight="1" hidden="1"/>
    <row r="27" spans="1:4" s="38" customFormat="1" ht="15" customHeight="1" hidden="1">
      <c r="A27" s="135"/>
      <c r="B27" s="102"/>
      <c r="C27" s="102"/>
      <c r="D27" s="102"/>
    </row>
    <row r="28" spans="1:4" s="38" customFormat="1" ht="15" customHeight="1" hidden="1">
      <c r="A28" s="135"/>
      <c r="B28" s="136"/>
      <c r="C28" s="136"/>
      <c r="D28" s="136"/>
    </row>
    <row r="29" spans="1:4" s="38" customFormat="1" ht="15" customHeight="1">
      <c r="A29" s="135"/>
      <c r="B29" s="49"/>
      <c r="C29" s="49"/>
      <c r="D29" s="49"/>
    </row>
    <row r="30" spans="1:4" ht="49.5" customHeight="1">
      <c r="A30" s="533" t="s">
        <v>167</v>
      </c>
      <c r="B30" s="533"/>
      <c r="C30" s="105">
        <f>IF(D8&lt;3,C24,E24)</f>
        <v>2</v>
      </c>
      <c r="D30" s="137" t="s">
        <v>487</v>
      </c>
    </row>
    <row r="31" spans="1:4" ht="15" customHeight="1">
      <c r="A31" s="46"/>
      <c r="B31" s="49"/>
      <c r="C31" s="49"/>
      <c r="D31" s="49"/>
    </row>
    <row r="32" ht="15" customHeight="1"/>
    <row r="33" spans="1:6" ht="19.5" customHeight="1">
      <c r="A33" s="438" t="s">
        <v>328</v>
      </c>
      <c r="B33" s="438"/>
      <c r="C33" s="438"/>
      <c r="D33" s="438"/>
      <c r="F33" s="116"/>
    </row>
    <row r="34" spans="1:4" ht="12">
      <c r="A34" s="39" t="s">
        <v>153</v>
      </c>
      <c r="D34" s="58" t="s">
        <v>154</v>
      </c>
    </row>
    <row r="35" ht="12">
      <c r="A35" s="22" t="s">
        <v>379</v>
      </c>
    </row>
    <row r="36" spans="1:4" ht="12">
      <c r="A36" s="451" t="s">
        <v>440</v>
      </c>
      <c r="B36" s="451"/>
      <c r="C36" s="451"/>
      <c r="D36" s="451"/>
    </row>
    <row r="63" ht="138.75">
      <c r="A63" s="409" t="s">
        <v>647</v>
      </c>
    </row>
  </sheetData>
  <sheetProtection password="DF64" sheet="1"/>
  <mergeCells count="13">
    <mergeCell ref="A36:D36"/>
    <mergeCell ref="B18:E18"/>
    <mergeCell ref="A10:C10"/>
    <mergeCell ref="A9:C9"/>
    <mergeCell ref="A33:D33"/>
    <mergeCell ref="A30:B30"/>
    <mergeCell ref="A11:C11"/>
    <mergeCell ref="B14:E14"/>
    <mergeCell ref="A1:D1"/>
    <mergeCell ref="A4:D6"/>
    <mergeCell ref="A8:C8"/>
    <mergeCell ref="A13:E13"/>
    <mergeCell ref="A2:D3"/>
  </mergeCells>
  <hyperlinks>
    <hyperlink ref="A33" r:id="rId1" display="Cliquez ici pour commencer"/>
    <hyperlink ref="A33:D33" location="'11'!A1" display="Cliquez ici pour continuer"/>
    <hyperlink ref="A34" location="'9'!A1" display="retour"/>
    <hyperlink ref="D34" location="'11'!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11.xml><?xml version="1.0" encoding="utf-8"?>
<worksheet xmlns="http://schemas.openxmlformats.org/spreadsheetml/2006/main" xmlns:r="http://schemas.openxmlformats.org/officeDocument/2006/relationships">
  <dimension ref="A1:L63"/>
  <sheetViews>
    <sheetView showGridLines="0" zoomScalePageLayoutView="0" workbookViewId="0" topLeftCell="A1">
      <selection activeCell="D32" sqref="D32"/>
    </sheetView>
  </sheetViews>
  <sheetFormatPr defaultColWidth="11.421875" defaultRowHeight="12.75"/>
  <cols>
    <col min="1" max="4" width="30.7109375" style="22" customWidth="1"/>
    <col min="5" max="5" width="21.7109375" style="22" customWidth="1"/>
    <col min="6" max="16384" width="11.421875" style="22" customWidth="1"/>
  </cols>
  <sheetData>
    <row r="1" spans="1:5" ht="34.5" customHeight="1">
      <c r="A1" s="511" t="s">
        <v>600</v>
      </c>
      <c r="B1" s="439"/>
      <c r="C1" s="439"/>
      <c r="D1" s="439"/>
      <c r="E1" s="138"/>
    </row>
    <row r="2" ht="15" customHeight="1">
      <c r="E2" s="138"/>
    </row>
    <row r="3" s="138" customFormat="1" ht="24.75" customHeight="1" thickBot="1">
      <c r="A3" s="139" t="s">
        <v>627</v>
      </c>
    </row>
    <row r="4" spans="1:4" ht="19.5" customHeight="1">
      <c r="A4" s="494" t="s">
        <v>367</v>
      </c>
      <c r="B4" s="495"/>
      <c r="C4" s="495"/>
      <c r="D4" s="496"/>
    </row>
    <row r="5" spans="1:4" ht="19.5" customHeight="1">
      <c r="A5" s="541"/>
      <c r="B5" s="534"/>
      <c r="C5" s="534"/>
      <c r="D5" s="542"/>
    </row>
    <row r="6" spans="1:4" ht="19.5" customHeight="1" thickBot="1">
      <c r="A6" s="543"/>
      <c r="B6" s="544"/>
      <c r="C6" s="544"/>
      <c r="D6" s="545"/>
    </row>
    <row r="7" ht="15" customHeight="1"/>
    <row r="8" spans="1:4" ht="15" customHeight="1">
      <c r="A8" s="546"/>
      <c r="B8" s="546"/>
      <c r="C8" s="546"/>
      <c r="D8" s="140" t="s">
        <v>33</v>
      </c>
    </row>
    <row r="9" spans="1:4" ht="15" customHeight="1">
      <c r="A9" s="538" t="s">
        <v>118</v>
      </c>
      <c r="B9" s="539"/>
      <c r="C9" s="540"/>
      <c r="D9" s="19">
        <v>0</v>
      </c>
    </row>
    <row r="10" spans="1:4" ht="15" customHeight="1">
      <c r="A10" s="538" t="s">
        <v>119</v>
      </c>
      <c r="B10" s="539"/>
      <c r="C10" s="540"/>
      <c r="D10" s="19">
        <v>0</v>
      </c>
    </row>
    <row r="11" spans="1:4" ht="15" customHeight="1">
      <c r="A11" s="538" t="s">
        <v>120</v>
      </c>
      <c r="B11" s="539"/>
      <c r="C11" s="540"/>
      <c r="D11" s="147">
        <v>2</v>
      </c>
    </row>
    <row r="12" spans="1:4" ht="15" customHeight="1">
      <c r="A12" s="538" t="s">
        <v>121</v>
      </c>
      <c r="B12" s="539"/>
      <c r="C12" s="540"/>
      <c r="D12" s="17">
        <v>4</v>
      </c>
    </row>
    <row r="13" spans="1:4" ht="15" customHeight="1">
      <c r="A13" s="538" t="s">
        <v>35</v>
      </c>
      <c r="B13" s="539"/>
      <c r="C13" s="540" t="s">
        <v>135</v>
      </c>
      <c r="D13" s="141">
        <f>SUM(D9:D12)</f>
        <v>6</v>
      </c>
    </row>
    <row r="14" ht="15" customHeight="1">
      <c r="F14" s="38"/>
    </row>
    <row r="15" ht="15" customHeight="1" hidden="1"/>
    <row r="16" spans="1:12" ht="15" customHeight="1" hidden="1">
      <c r="A16" s="547" t="s">
        <v>285</v>
      </c>
      <c r="B16" s="547"/>
      <c r="C16" s="547"/>
      <c r="D16" s="547"/>
      <c r="F16" s="142"/>
      <c r="G16" s="537"/>
      <c r="H16" s="537"/>
      <c r="I16" s="537"/>
      <c r="J16" s="537"/>
      <c r="K16" s="537"/>
      <c r="L16" s="537"/>
    </row>
    <row r="17" spans="1:12" ht="15" customHeight="1" hidden="1">
      <c r="A17" s="93" t="s">
        <v>118</v>
      </c>
      <c r="B17" s="93" t="s">
        <v>119</v>
      </c>
      <c r="C17" s="93" t="s">
        <v>120</v>
      </c>
      <c r="D17" s="93" t="s">
        <v>121</v>
      </c>
      <c r="F17" s="537"/>
      <c r="G17" s="537"/>
      <c r="H17" s="537"/>
      <c r="I17" s="537"/>
      <c r="J17" s="537"/>
      <c r="K17" s="537"/>
      <c r="L17" s="537"/>
    </row>
    <row r="18" spans="1:12" ht="15" customHeight="1" hidden="1">
      <c r="A18" s="93">
        <v>4</v>
      </c>
      <c r="B18" s="93">
        <v>3</v>
      </c>
      <c r="C18" s="93">
        <v>2</v>
      </c>
      <c r="D18" s="93">
        <v>1</v>
      </c>
      <c r="F18" s="537"/>
      <c r="G18" s="537"/>
      <c r="H18" s="537"/>
      <c r="I18" s="537"/>
      <c r="J18" s="537"/>
      <c r="K18" s="537"/>
      <c r="L18" s="537"/>
    </row>
    <row r="19" spans="1:12" s="38" customFormat="1" ht="15" customHeight="1" hidden="1">
      <c r="A19" s="22"/>
      <c r="B19" s="22"/>
      <c r="C19" s="22"/>
      <c r="E19" s="22"/>
      <c r="F19" s="537"/>
      <c r="G19" s="537"/>
      <c r="H19" s="537"/>
      <c r="I19" s="537"/>
      <c r="J19" s="537"/>
      <c r="K19" s="537"/>
      <c r="L19" s="537"/>
    </row>
    <row r="20" spans="6:12" ht="15" customHeight="1" hidden="1">
      <c r="F20" s="537"/>
      <c r="G20" s="537"/>
      <c r="H20" s="537"/>
      <c r="I20" s="537"/>
      <c r="J20" s="537"/>
      <c r="K20" s="537"/>
      <c r="L20" s="537"/>
    </row>
    <row r="21" spans="6:12" ht="15" customHeight="1" hidden="1">
      <c r="F21" s="537"/>
      <c r="G21" s="537"/>
      <c r="H21" s="537"/>
      <c r="I21" s="143"/>
      <c r="J21" s="143"/>
      <c r="K21" s="143"/>
      <c r="L21" s="143"/>
    </row>
    <row r="22" ht="15" customHeight="1" hidden="1">
      <c r="A22" s="44" t="s">
        <v>584</v>
      </c>
    </row>
    <row r="23" spans="1:3" ht="15" customHeight="1" hidden="1">
      <c r="A23" s="144" t="s">
        <v>583</v>
      </c>
      <c r="B23" s="49"/>
      <c r="C23" s="49"/>
    </row>
    <row r="24" ht="15" customHeight="1" hidden="1">
      <c r="A24" s="145"/>
    </row>
    <row r="25" ht="15" customHeight="1" hidden="1"/>
    <row r="26" ht="15" customHeight="1" hidden="1"/>
    <row r="27" spans="2:4" ht="15" customHeight="1">
      <c r="B27" s="49"/>
      <c r="C27" s="49"/>
      <c r="D27" s="49"/>
    </row>
    <row r="28" spans="1:4" ht="49.5" customHeight="1">
      <c r="A28" s="533" t="s">
        <v>370</v>
      </c>
      <c r="B28" s="533"/>
      <c r="C28" s="146">
        <f>ROUND(((D9*A18)+(D10*B18)+(D11*C18)+(D12*D18))/D13,0)</f>
        <v>1</v>
      </c>
      <c r="D28" s="137" t="s">
        <v>292</v>
      </c>
    </row>
    <row r="29" spans="1:4" ht="15" customHeight="1">
      <c r="A29" s="102"/>
      <c r="B29" s="102"/>
      <c r="C29" s="102"/>
      <c r="D29" s="49"/>
    </row>
    <row r="30" ht="15" customHeight="1"/>
    <row r="31" spans="1:4" ht="19.5" customHeight="1">
      <c r="A31" s="438" t="s">
        <v>328</v>
      </c>
      <c r="B31" s="438"/>
      <c r="C31" s="438"/>
      <c r="D31" s="438"/>
    </row>
    <row r="32" spans="1:4" ht="15" customHeight="1">
      <c r="A32" s="39" t="s">
        <v>153</v>
      </c>
      <c r="D32" s="58" t="s">
        <v>154</v>
      </c>
    </row>
    <row r="33" spans="1:4" ht="12">
      <c r="A33" s="451" t="s">
        <v>441</v>
      </c>
      <c r="B33" s="451"/>
      <c r="C33" s="451"/>
      <c r="D33" s="451"/>
    </row>
    <row r="63" ht="138.75">
      <c r="A63" s="409" t="s">
        <v>647</v>
      </c>
    </row>
  </sheetData>
  <sheetProtection password="DF64" sheet="1"/>
  <mergeCells count="18">
    <mergeCell ref="A33:D33"/>
    <mergeCell ref="G16:L16"/>
    <mergeCell ref="A12:C12"/>
    <mergeCell ref="A16:D16"/>
    <mergeCell ref="A31:D31"/>
    <mergeCell ref="F17:L17"/>
    <mergeCell ref="F18:L18"/>
    <mergeCell ref="F19:L19"/>
    <mergeCell ref="F20:L20"/>
    <mergeCell ref="A28:B28"/>
    <mergeCell ref="F21:H21"/>
    <mergeCell ref="A1:D1"/>
    <mergeCell ref="A13:C13"/>
    <mergeCell ref="A4:D6"/>
    <mergeCell ref="A8:C8"/>
    <mergeCell ref="A10:C10"/>
    <mergeCell ref="A11:C11"/>
    <mergeCell ref="A9:C9"/>
  </mergeCells>
  <hyperlinks>
    <hyperlink ref="A31" r:id="rId1" display="Cliquez ici pour commencer"/>
    <hyperlink ref="A31:E31" r:id="rId2" display="Cliquez ici pour continuer"/>
    <hyperlink ref="A31:D31" location="'12'!A1" display="Cliquez ici pour continuer"/>
    <hyperlink ref="A32" location="'10'!A1" display="retour"/>
    <hyperlink ref="D32" location="'12'!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12.xml><?xml version="1.0" encoding="utf-8"?>
<worksheet xmlns="http://schemas.openxmlformats.org/spreadsheetml/2006/main" xmlns:r="http://schemas.openxmlformats.org/officeDocument/2006/relationships">
  <dimension ref="A1:P63"/>
  <sheetViews>
    <sheetView showGridLines="0" zoomScalePageLayoutView="0" workbookViewId="0" topLeftCell="A1">
      <selection activeCell="D31" sqref="D31"/>
    </sheetView>
  </sheetViews>
  <sheetFormatPr defaultColWidth="11.421875" defaultRowHeight="12.75"/>
  <cols>
    <col min="1" max="4" width="30.7109375" style="22" customWidth="1"/>
    <col min="5" max="5" width="21.7109375" style="22" customWidth="1"/>
    <col min="6" max="16384" width="11.421875" style="22" customWidth="1"/>
  </cols>
  <sheetData>
    <row r="1" spans="1:4" ht="34.5" customHeight="1">
      <c r="A1" s="511" t="s">
        <v>601</v>
      </c>
      <c r="B1" s="511"/>
      <c r="C1" s="511"/>
      <c r="D1" s="511"/>
    </row>
    <row r="2" ht="15" customHeight="1"/>
    <row r="3" spans="1:5" ht="50.25" customHeight="1" thickBot="1">
      <c r="A3" s="512" t="s">
        <v>356</v>
      </c>
      <c r="B3" s="512"/>
      <c r="C3" s="512"/>
      <c r="D3" s="512"/>
      <c r="E3" s="512"/>
    </row>
    <row r="4" spans="1:4" ht="19.5" customHeight="1">
      <c r="A4" s="494" t="s">
        <v>376</v>
      </c>
      <c r="B4" s="495"/>
      <c r="C4" s="495"/>
      <c r="D4" s="496"/>
    </row>
    <row r="5" spans="1:4" ht="19.5" customHeight="1">
      <c r="A5" s="541"/>
      <c r="B5" s="534"/>
      <c r="C5" s="534"/>
      <c r="D5" s="542"/>
    </row>
    <row r="6" spans="1:16" ht="19.5" customHeight="1" thickBot="1">
      <c r="A6" s="543"/>
      <c r="B6" s="544"/>
      <c r="C6" s="544"/>
      <c r="D6" s="545"/>
      <c r="F6" s="69"/>
      <c r="G6" s="69"/>
      <c r="H6" s="69"/>
      <c r="I6" s="69"/>
      <c r="J6" s="69"/>
      <c r="K6" s="69"/>
      <c r="L6" s="69"/>
      <c r="M6" s="69"/>
      <c r="N6" s="69"/>
      <c r="O6" s="69"/>
      <c r="P6" s="69"/>
    </row>
    <row r="7" spans="6:16" ht="15" customHeight="1">
      <c r="F7" s="69"/>
      <c r="G7" s="69"/>
      <c r="H7" s="69"/>
      <c r="I7" s="69"/>
      <c r="J7" s="69"/>
      <c r="K7" s="69"/>
      <c r="L7" s="69"/>
      <c r="M7" s="69"/>
      <c r="N7" s="69"/>
      <c r="O7" s="69"/>
      <c r="P7" s="69"/>
    </row>
    <row r="8" spans="1:16" ht="15" customHeight="1">
      <c r="A8" s="529" t="s">
        <v>33</v>
      </c>
      <c r="B8" s="529"/>
      <c r="C8" s="529"/>
      <c r="D8" s="119">
        <f>'11'!D13</f>
        <v>6</v>
      </c>
      <c r="F8" s="69"/>
      <c r="G8" s="69"/>
      <c r="H8" s="69"/>
      <c r="I8" s="69"/>
      <c r="J8" s="69"/>
      <c r="K8" s="69"/>
      <c r="L8" s="69"/>
      <c r="M8" s="69"/>
      <c r="N8" s="69"/>
      <c r="O8" s="69"/>
      <c r="P8" s="69"/>
    </row>
    <row r="9" spans="1:16" ht="15" customHeight="1">
      <c r="A9" s="517" t="s">
        <v>3</v>
      </c>
      <c r="B9" s="517"/>
      <c r="C9" s="517"/>
      <c r="D9" s="19">
        <v>216</v>
      </c>
      <c r="F9" s="69"/>
      <c r="G9" s="69"/>
      <c r="H9" s="69"/>
      <c r="I9" s="69"/>
      <c r="J9" s="69"/>
      <c r="K9" s="69"/>
      <c r="L9" s="69"/>
      <c r="M9" s="69"/>
      <c r="N9" s="69"/>
      <c r="O9" s="69"/>
      <c r="P9" s="69"/>
    </row>
    <row r="10" spans="1:16" ht="15" customHeight="1">
      <c r="A10" s="529" t="s">
        <v>37</v>
      </c>
      <c r="B10" s="529"/>
      <c r="C10" s="529"/>
      <c r="D10" s="148">
        <f>D9/D8</f>
        <v>36</v>
      </c>
      <c r="F10" s="69"/>
      <c r="G10" s="69"/>
      <c r="H10" s="69"/>
      <c r="I10" s="69"/>
      <c r="J10" s="69"/>
      <c r="K10" s="69"/>
      <c r="L10" s="69"/>
      <c r="M10" s="69"/>
      <c r="N10" s="69"/>
      <c r="O10" s="69"/>
      <c r="P10" s="69"/>
    </row>
    <row r="11" spans="6:16" ht="15" customHeight="1">
      <c r="F11" s="69"/>
      <c r="G11" s="69"/>
      <c r="H11" s="69"/>
      <c r="I11" s="69"/>
      <c r="J11" s="69"/>
      <c r="K11" s="69"/>
      <c r="L11" s="69"/>
      <c r="M11" s="69"/>
      <c r="N11" s="69"/>
      <c r="O11" s="69"/>
      <c r="P11" s="69"/>
    </row>
    <row r="12" spans="6:16" ht="15" customHeight="1" hidden="1">
      <c r="F12" s="69"/>
      <c r="G12" s="69"/>
      <c r="H12" s="69"/>
      <c r="I12" s="69"/>
      <c r="J12" s="69"/>
      <c r="K12" s="69"/>
      <c r="L12" s="69"/>
      <c r="M12" s="69"/>
      <c r="N12" s="69"/>
      <c r="O12" s="69"/>
      <c r="P12" s="69"/>
    </row>
    <row r="13" spans="6:16" ht="15" customHeight="1" hidden="1">
      <c r="F13" s="69"/>
      <c r="G13" s="69"/>
      <c r="H13" s="69"/>
      <c r="I13" s="69"/>
      <c r="J13" s="69"/>
      <c r="K13" s="69"/>
      <c r="L13" s="69"/>
      <c r="M13" s="69"/>
      <c r="N13" s="69"/>
      <c r="O13" s="69"/>
      <c r="P13" s="69"/>
    </row>
    <row r="14" spans="6:16" ht="15" customHeight="1" hidden="1">
      <c r="F14" s="69"/>
      <c r="G14" s="69"/>
      <c r="H14" s="69"/>
      <c r="I14" s="69"/>
      <c r="J14" s="69"/>
      <c r="K14" s="69"/>
      <c r="L14" s="69"/>
      <c r="M14" s="69"/>
      <c r="N14" s="69"/>
      <c r="O14" s="69"/>
      <c r="P14" s="69"/>
    </row>
    <row r="15" spans="6:16" ht="15" customHeight="1" hidden="1">
      <c r="F15" s="69"/>
      <c r="G15" s="69"/>
      <c r="H15" s="69"/>
      <c r="I15" s="69"/>
      <c r="J15" s="69"/>
      <c r="K15" s="69"/>
      <c r="L15" s="69"/>
      <c r="M15" s="69"/>
      <c r="N15" s="69"/>
      <c r="O15" s="69"/>
      <c r="P15" s="69"/>
    </row>
    <row r="16" spans="1:16" ht="15" customHeight="1" hidden="1">
      <c r="A16" s="547" t="s">
        <v>285</v>
      </c>
      <c r="B16" s="547"/>
      <c r="C16" s="547"/>
      <c r="D16" s="547"/>
      <c r="F16" s="69"/>
      <c r="G16" s="69"/>
      <c r="H16" s="69"/>
      <c r="I16" s="69"/>
      <c r="J16" s="69"/>
      <c r="K16" s="69"/>
      <c r="L16" s="69"/>
      <c r="M16" s="69"/>
      <c r="N16" s="69"/>
      <c r="O16" s="69"/>
      <c r="P16" s="69"/>
    </row>
    <row r="17" spans="1:16" ht="15" customHeight="1" hidden="1">
      <c r="A17" s="93" t="s">
        <v>38</v>
      </c>
      <c r="B17" s="93" t="s">
        <v>293</v>
      </c>
      <c r="C17" s="93" t="s">
        <v>294</v>
      </c>
      <c r="D17" s="93" t="s">
        <v>39</v>
      </c>
      <c r="F17" s="69"/>
      <c r="G17" s="69"/>
      <c r="H17" s="69"/>
      <c r="I17" s="69"/>
      <c r="J17" s="69"/>
      <c r="K17" s="69"/>
      <c r="L17" s="69"/>
      <c r="M17" s="69"/>
      <c r="N17" s="69"/>
      <c r="O17" s="69"/>
      <c r="P17" s="69"/>
    </row>
    <row r="18" spans="1:16" ht="15" customHeight="1" hidden="1">
      <c r="A18" s="93">
        <v>1</v>
      </c>
      <c r="B18" s="93">
        <v>2</v>
      </c>
      <c r="C18" s="93">
        <v>3</v>
      </c>
      <c r="D18" s="93">
        <v>4</v>
      </c>
      <c r="F18" s="69"/>
      <c r="G18" s="69"/>
      <c r="H18" s="69"/>
      <c r="I18" s="69"/>
      <c r="J18" s="69"/>
      <c r="K18" s="69"/>
      <c r="L18" s="69"/>
      <c r="M18" s="69"/>
      <c r="N18" s="69"/>
      <c r="O18" s="69"/>
      <c r="P18" s="69"/>
    </row>
    <row r="19" spans="1:16" s="38" customFormat="1" ht="15" customHeight="1" hidden="1">
      <c r="A19" s="22"/>
      <c r="B19" s="22"/>
      <c r="C19" s="22"/>
      <c r="F19" s="69"/>
      <c r="G19" s="69"/>
      <c r="H19" s="69"/>
      <c r="I19" s="69"/>
      <c r="J19" s="69"/>
      <c r="K19" s="69"/>
      <c r="L19" s="69"/>
      <c r="M19" s="69"/>
      <c r="N19" s="69"/>
      <c r="O19" s="69"/>
      <c r="P19" s="69"/>
    </row>
    <row r="20" spans="6:16" ht="15" customHeight="1" hidden="1">
      <c r="F20" s="69"/>
      <c r="G20" s="69"/>
      <c r="H20" s="69"/>
      <c r="I20" s="69"/>
      <c r="J20" s="69"/>
      <c r="K20" s="69"/>
      <c r="L20" s="69"/>
      <c r="M20" s="69"/>
      <c r="N20" s="69"/>
      <c r="O20" s="69"/>
      <c r="P20" s="69"/>
    </row>
    <row r="21" spans="6:16" ht="15" customHeight="1" hidden="1">
      <c r="F21" s="69"/>
      <c r="G21" s="69"/>
      <c r="H21" s="69"/>
      <c r="I21" s="69"/>
      <c r="J21" s="69"/>
      <c r="K21" s="69"/>
      <c r="L21" s="69"/>
      <c r="M21" s="69"/>
      <c r="N21" s="69"/>
      <c r="O21" s="69"/>
      <c r="P21" s="69"/>
    </row>
    <row r="22" spans="1:16" ht="15" customHeight="1" hidden="1">
      <c r="A22" s="44" t="s">
        <v>588</v>
      </c>
      <c r="F22" s="69"/>
      <c r="G22" s="69"/>
      <c r="H22" s="69"/>
      <c r="I22" s="69"/>
      <c r="J22" s="69"/>
      <c r="K22" s="69"/>
      <c r="L22" s="69"/>
      <c r="M22" s="69"/>
      <c r="N22" s="69"/>
      <c r="O22" s="69"/>
      <c r="P22" s="69"/>
    </row>
    <row r="23" spans="1:16" ht="15" customHeight="1" hidden="1">
      <c r="A23" s="22" t="s">
        <v>0</v>
      </c>
      <c r="F23" s="69"/>
      <c r="G23" s="69"/>
      <c r="H23" s="69"/>
      <c r="I23" s="69"/>
      <c r="J23" s="69"/>
      <c r="K23" s="69"/>
      <c r="L23" s="69"/>
      <c r="M23" s="69"/>
      <c r="N23" s="69"/>
      <c r="O23" s="69"/>
      <c r="P23" s="69"/>
    </row>
    <row r="24" spans="6:16" ht="15" customHeight="1" hidden="1">
      <c r="F24" s="69"/>
      <c r="G24" s="69"/>
      <c r="H24" s="69"/>
      <c r="I24" s="69"/>
      <c r="J24" s="69"/>
      <c r="K24" s="69"/>
      <c r="L24" s="69"/>
      <c r="M24" s="69"/>
      <c r="N24" s="69"/>
      <c r="O24" s="69"/>
      <c r="P24" s="69"/>
    </row>
    <row r="25" spans="6:16" ht="15" customHeight="1" hidden="1">
      <c r="F25" s="69"/>
      <c r="G25" s="69"/>
      <c r="H25" s="69"/>
      <c r="I25" s="69"/>
      <c r="J25" s="69"/>
      <c r="K25" s="69"/>
      <c r="L25" s="69"/>
      <c r="M25" s="69"/>
      <c r="N25" s="69"/>
      <c r="O25" s="69"/>
      <c r="P25" s="69"/>
    </row>
    <row r="26" spans="2:16" ht="15" customHeight="1">
      <c r="B26" s="49"/>
      <c r="C26" s="49"/>
      <c r="D26" s="49"/>
      <c r="F26" s="69"/>
      <c r="G26" s="69"/>
      <c r="H26" s="69"/>
      <c r="I26" s="69"/>
      <c r="J26" s="69"/>
      <c r="K26" s="69"/>
      <c r="L26" s="69"/>
      <c r="M26" s="69"/>
      <c r="N26" s="69"/>
      <c r="O26" s="69"/>
      <c r="P26" s="69"/>
    </row>
    <row r="27" spans="1:16" ht="49.5" customHeight="1">
      <c r="A27" s="533" t="s">
        <v>371</v>
      </c>
      <c r="B27" s="533"/>
      <c r="C27" s="105">
        <f>IF($D$10&gt;=36,D18,(IF(AND($D$10&lt;36,$D$10&gt;=24),C18,(IF(AND($D$10&lt;24,$D$10&gt;=12),B18,A18)))))</f>
        <v>4</v>
      </c>
      <c r="D27" s="106" t="s">
        <v>292</v>
      </c>
      <c r="F27" s="69"/>
      <c r="G27" s="69"/>
      <c r="H27" s="69"/>
      <c r="I27" s="69"/>
      <c r="J27" s="69"/>
      <c r="K27" s="69"/>
      <c r="L27" s="69"/>
      <c r="M27" s="69"/>
      <c r="N27" s="69"/>
      <c r="O27" s="69"/>
      <c r="P27" s="69"/>
    </row>
    <row r="28" spans="2:16" ht="15" customHeight="1">
      <c r="B28" s="49"/>
      <c r="C28" s="49"/>
      <c r="D28" s="49"/>
      <c r="F28" s="69"/>
      <c r="G28" s="69"/>
      <c r="H28" s="69"/>
      <c r="I28" s="69"/>
      <c r="J28" s="69"/>
      <c r="K28" s="69"/>
      <c r="L28" s="69"/>
      <c r="M28" s="69"/>
      <c r="N28" s="69"/>
      <c r="O28" s="69"/>
      <c r="P28" s="69"/>
    </row>
    <row r="29" spans="6:16" ht="15" customHeight="1">
      <c r="F29" s="69"/>
      <c r="G29" s="69"/>
      <c r="H29" s="69"/>
      <c r="I29" s="69"/>
      <c r="J29" s="69"/>
      <c r="K29" s="69"/>
      <c r="L29" s="69"/>
      <c r="M29" s="69"/>
      <c r="N29" s="69"/>
      <c r="O29" s="69"/>
      <c r="P29" s="69"/>
    </row>
    <row r="30" spans="1:16" ht="19.5" customHeight="1">
      <c r="A30" s="438" t="s">
        <v>328</v>
      </c>
      <c r="B30" s="438"/>
      <c r="C30" s="438"/>
      <c r="D30" s="438"/>
      <c r="F30" s="69"/>
      <c r="G30" s="69"/>
      <c r="H30" s="69"/>
      <c r="I30" s="69"/>
      <c r="J30" s="69"/>
      <c r="K30" s="69"/>
      <c r="L30" s="69"/>
      <c r="M30" s="69"/>
      <c r="N30" s="69"/>
      <c r="O30" s="69"/>
      <c r="P30" s="69"/>
    </row>
    <row r="31" spans="1:16" ht="15" customHeight="1">
      <c r="A31" s="39" t="s">
        <v>153</v>
      </c>
      <c r="D31" s="58" t="s">
        <v>154</v>
      </c>
      <c r="H31" s="69"/>
      <c r="I31" s="69"/>
      <c r="J31" s="69"/>
      <c r="K31" s="69"/>
      <c r="L31" s="69"/>
      <c r="M31" s="69"/>
      <c r="N31" s="69"/>
      <c r="O31" s="69"/>
      <c r="P31" s="69"/>
    </row>
    <row r="32" spans="1:4" ht="12">
      <c r="A32" s="451" t="s">
        <v>442</v>
      </c>
      <c r="B32" s="451"/>
      <c r="C32" s="451"/>
      <c r="D32" s="451"/>
    </row>
    <row r="63" ht="138.75">
      <c r="A63" s="409" t="s">
        <v>647</v>
      </c>
    </row>
  </sheetData>
  <sheetProtection password="DF64" sheet="1"/>
  <mergeCells count="10">
    <mergeCell ref="A32:D32"/>
    <mergeCell ref="A3:E3"/>
    <mergeCell ref="A30:D30"/>
    <mergeCell ref="A1:D1"/>
    <mergeCell ref="A27:B27"/>
    <mergeCell ref="A8:C8"/>
    <mergeCell ref="A10:C10"/>
    <mergeCell ref="A9:C9"/>
    <mergeCell ref="A16:D16"/>
    <mergeCell ref="A4:D6"/>
  </mergeCells>
  <hyperlinks>
    <hyperlink ref="A30" r:id="rId1" display="Cliquez ici pour commencer"/>
    <hyperlink ref="A30:E30" r:id="rId2" display="Cliquez ici pour continuer"/>
    <hyperlink ref="A30:D30" location="'13'!A1" display="Cliquez ici pour continuer"/>
    <hyperlink ref="A31" location="'11'!A1" display="retour"/>
    <hyperlink ref="D31" location="'13'!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13.xml><?xml version="1.0" encoding="utf-8"?>
<worksheet xmlns="http://schemas.openxmlformats.org/spreadsheetml/2006/main" xmlns:r="http://schemas.openxmlformats.org/officeDocument/2006/relationships">
  <dimension ref="A1:L63"/>
  <sheetViews>
    <sheetView showGridLines="0" zoomScalePageLayoutView="0" workbookViewId="0" topLeftCell="A1">
      <selection activeCell="D31" sqref="D31"/>
    </sheetView>
  </sheetViews>
  <sheetFormatPr defaultColWidth="11.421875" defaultRowHeight="12.75"/>
  <cols>
    <col min="1" max="2" width="35.7109375" style="22" customWidth="1"/>
    <col min="3" max="4" width="30.7109375" style="22" customWidth="1"/>
    <col min="5" max="5" width="21.7109375" style="22" customWidth="1"/>
    <col min="6" max="16384" width="11.421875" style="22" customWidth="1"/>
  </cols>
  <sheetData>
    <row r="1" spans="1:4" ht="34.5" customHeight="1">
      <c r="A1" s="511" t="s">
        <v>602</v>
      </c>
      <c r="B1" s="439"/>
      <c r="C1" s="439"/>
      <c r="D1" s="439"/>
    </row>
    <row r="2" ht="15" customHeight="1"/>
    <row r="3" spans="1:5" ht="53.25" customHeight="1" thickBot="1">
      <c r="A3" s="513" t="s">
        <v>357</v>
      </c>
      <c r="B3" s="513"/>
      <c r="C3" s="513"/>
      <c r="D3" s="513"/>
      <c r="E3" s="87"/>
    </row>
    <row r="4" spans="1:4" ht="19.5" customHeight="1">
      <c r="A4" s="494" t="s">
        <v>374</v>
      </c>
      <c r="B4" s="495"/>
      <c r="C4" s="495"/>
      <c r="D4" s="496"/>
    </row>
    <row r="5" spans="1:4" ht="19.5" customHeight="1">
      <c r="A5" s="541"/>
      <c r="B5" s="534"/>
      <c r="C5" s="534"/>
      <c r="D5" s="542"/>
    </row>
    <row r="6" spans="1:4" ht="19.5" customHeight="1" thickBot="1">
      <c r="A6" s="543"/>
      <c r="B6" s="544"/>
      <c r="C6" s="544"/>
      <c r="D6" s="545"/>
    </row>
    <row r="7" spans="1:4" ht="15" customHeight="1">
      <c r="A7" s="118"/>
      <c r="B7" s="118"/>
      <c r="C7" s="118"/>
      <c r="D7" s="118"/>
    </row>
    <row r="8" ht="15" customHeight="1"/>
    <row r="9" spans="1:4" ht="15" customHeight="1">
      <c r="A9" s="529" t="s">
        <v>33</v>
      </c>
      <c r="B9" s="529"/>
      <c r="C9" s="529"/>
      <c r="D9" s="119">
        <f>'11'!D13</f>
        <v>6</v>
      </c>
    </row>
    <row r="10" spans="1:4" ht="15" customHeight="1">
      <c r="A10" s="517" t="s">
        <v>4</v>
      </c>
      <c r="B10" s="517"/>
      <c r="C10" s="517"/>
      <c r="D10" s="19">
        <v>216</v>
      </c>
    </row>
    <row r="11" spans="1:4" ht="15" customHeight="1">
      <c r="A11" s="529" t="s">
        <v>37</v>
      </c>
      <c r="B11" s="529"/>
      <c r="C11" s="529"/>
      <c r="D11" s="148">
        <f>D10/D9</f>
        <v>36</v>
      </c>
    </row>
    <row r="12" ht="15" customHeight="1"/>
    <row r="13" ht="15" customHeight="1" hidden="1"/>
    <row r="14" ht="15" customHeight="1" hidden="1"/>
    <row r="15" ht="15" customHeight="1" hidden="1"/>
    <row r="16" spans="1:4" ht="15" customHeight="1" hidden="1">
      <c r="A16" s="547" t="s">
        <v>285</v>
      </c>
      <c r="B16" s="547"/>
      <c r="C16" s="547"/>
      <c r="D16" s="547"/>
    </row>
    <row r="17" spans="1:4" ht="15" customHeight="1" hidden="1">
      <c r="A17" s="93" t="s">
        <v>38</v>
      </c>
      <c r="B17" s="93" t="s">
        <v>293</v>
      </c>
      <c r="C17" s="93" t="s">
        <v>294</v>
      </c>
      <c r="D17" s="93" t="s">
        <v>39</v>
      </c>
    </row>
    <row r="18" spans="1:4" ht="15" customHeight="1" hidden="1">
      <c r="A18" s="93">
        <v>1</v>
      </c>
      <c r="B18" s="93">
        <v>2</v>
      </c>
      <c r="C18" s="93">
        <v>3</v>
      </c>
      <c r="D18" s="93">
        <v>4</v>
      </c>
    </row>
    <row r="19" spans="1:3" s="38" customFormat="1" ht="15" customHeight="1" hidden="1">
      <c r="A19" s="22"/>
      <c r="B19" s="22"/>
      <c r="C19" s="22"/>
    </row>
    <row r="20" ht="15" customHeight="1" hidden="1"/>
    <row r="21" ht="15" customHeight="1" hidden="1"/>
    <row r="22" ht="15" customHeight="1" hidden="1">
      <c r="A22" s="44" t="s">
        <v>585</v>
      </c>
    </row>
    <row r="23" ht="15" customHeight="1" hidden="1">
      <c r="A23" s="22" t="s">
        <v>586</v>
      </c>
    </row>
    <row r="24" spans="1:12" ht="15" customHeight="1" hidden="1">
      <c r="A24" s="22" t="s">
        <v>587</v>
      </c>
      <c r="F24" s="537"/>
      <c r="G24" s="537"/>
      <c r="H24" s="537"/>
      <c r="I24" s="537"/>
      <c r="J24" s="537"/>
      <c r="K24" s="537"/>
      <c r="L24" s="537"/>
    </row>
    <row r="25" spans="6:12" ht="15" customHeight="1" hidden="1">
      <c r="F25" s="537"/>
      <c r="G25" s="537"/>
      <c r="H25" s="537"/>
      <c r="I25" s="537"/>
      <c r="J25" s="537"/>
      <c r="K25" s="537"/>
      <c r="L25" s="537"/>
    </row>
    <row r="26" spans="1:12" ht="15" customHeight="1">
      <c r="A26" s="46"/>
      <c r="B26" s="46"/>
      <c r="C26" s="46"/>
      <c r="D26" s="46"/>
      <c r="F26" s="537"/>
      <c r="G26" s="537"/>
      <c r="H26" s="537"/>
      <c r="I26" s="537"/>
      <c r="J26" s="537"/>
      <c r="K26" s="537"/>
      <c r="L26" s="537"/>
    </row>
    <row r="27" spans="1:5" ht="49.5" customHeight="1">
      <c r="A27" s="533" t="s">
        <v>372</v>
      </c>
      <c r="B27" s="533"/>
      <c r="C27" s="105">
        <f>IF($D$11&gt;=36,D18,(IF(AND($D$11&lt;36,$D$11&gt;=24),C18,(IF(AND($D$11&lt;24,$D$11&gt;=12),B18,A18)))))</f>
        <v>4</v>
      </c>
      <c r="D27" s="106" t="s">
        <v>292</v>
      </c>
      <c r="E27" s="2" t="s">
        <v>553</v>
      </c>
    </row>
    <row r="28" spans="1:4" ht="15" customHeight="1">
      <c r="A28" s="46"/>
      <c r="B28" s="49"/>
      <c r="C28" s="49"/>
      <c r="D28" s="49"/>
    </row>
    <row r="29" spans="1:4" ht="15" customHeight="1">
      <c r="A29" s="46"/>
      <c r="B29" s="46"/>
      <c r="C29" s="46"/>
      <c r="D29" s="46"/>
    </row>
    <row r="30" spans="1:4" ht="19.5" customHeight="1">
      <c r="A30" s="438" t="s">
        <v>328</v>
      </c>
      <c r="B30" s="438"/>
      <c r="C30" s="438"/>
      <c r="D30" s="438"/>
    </row>
    <row r="31" spans="1:4" ht="15" customHeight="1">
      <c r="A31" s="39" t="s">
        <v>153</v>
      </c>
      <c r="D31" s="58" t="s">
        <v>154</v>
      </c>
    </row>
    <row r="32" spans="1:4" ht="12">
      <c r="A32" s="451" t="s">
        <v>443</v>
      </c>
      <c r="B32" s="451"/>
      <c r="C32" s="451"/>
      <c r="D32" s="451"/>
    </row>
    <row r="63" ht="126">
      <c r="A63" s="409" t="s">
        <v>647</v>
      </c>
    </row>
  </sheetData>
  <sheetProtection password="DF64" sheet="1"/>
  <mergeCells count="13">
    <mergeCell ref="A16:D16"/>
    <mergeCell ref="A27:B27"/>
    <mergeCell ref="A32:D32"/>
    <mergeCell ref="F24:L24"/>
    <mergeCell ref="F25:L25"/>
    <mergeCell ref="F26:L26"/>
    <mergeCell ref="A30:D30"/>
    <mergeCell ref="A4:D6"/>
    <mergeCell ref="A3:D3"/>
    <mergeCell ref="A1:D1"/>
    <mergeCell ref="A9:C9"/>
    <mergeCell ref="A11:C11"/>
    <mergeCell ref="A10:C10"/>
  </mergeCells>
  <hyperlinks>
    <hyperlink ref="A30" r:id="rId1" display="Cliquez ici pour commencer"/>
    <hyperlink ref="A30:E30" r:id="rId2" display="Cliquez ici pour continuer"/>
    <hyperlink ref="A30:D30" location="'14'!A1" display="Cliquez ici pour continuer"/>
    <hyperlink ref="A31" location="'12'!A1" display="retour"/>
    <hyperlink ref="D31" location="'14'!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14.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D28" sqref="D28"/>
    </sheetView>
  </sheetViews>
  <sheetFormatPr defaultColWidth="11.421875" defaultRowHeight="12.75"/>
  <cols>
    <col min="1" max="4" width="30.7109375" style="22" customWidth="1"/>
    <col min="5" max="5" width="21.7109375" style="22" customWidth="1"/>
    <col min="6" max="16384" width="11.421875" style="22" customWidth="1"/>
  </cols>
  <sheetData>
    <row r="1" spans="1:4" ht="34.5" customHeight="1">
      <c r="A1" s="511" t="s">
        <v>603</v>
      </c>
      <c r="B1" s="511"/>
      <c r="C1" s="511"/>
      <c r="D1" s="511"/>
    </row>
    <row r="2" ht="15" customHeight="1"/>
    <row r="3" spans="1:5" s="57" customFormat="1" ht="63" customHeight="1" thickBot="1">
      <c r="A3" s="548" t="s">
        <v>295</v>
      </c>
      <c r="B3" s="548"/>
      <c r="C3" s="548"/>
      <c r="D3" s="548"/>
      <c r="E3" s="149"/>
    </row>
    <row r="4" spans="1:4" ht="19.5" customHeight="1">
      <c r="A4" s="494" t="s">
        <v>375</v>
      </c>
      <c r="B4" s="495"/>
      <c r="C4" s="495"/>
      <c r="D4" s="496"/>
    </row>
    <row r="5" spans="1:4" ht="19.5" customHeight="1">
      <c r="A5" s="541"/>
      <c r="B5" s="534"/>
      <c r="C5" s="534"/>
      <c r="D5" s="542"/>
    </row>
    <row r="6" spans="1:4" ht="19.5" customHeight="1" thickBot="1">
      <c r="A6" s="543"/>
      <c r="B6" s="544"/>
      <c r="C6" s="544"/>
      <c r="D6" s="545"/>
    </row>
    <row r="7" ht="15" customHeight="1"/>
    <row r="8" ht="15" customHeight="1">
      <c r="A8" s="108"/>
    </row>
    <row r="9" spans="1:4" ht="15" customHeight="1">
      <c r="A9" s="517" t="s">
        <v>334</v>
      </c>
      <c r="B9" s="517"/>
      <c r="C9" s="517"/>
      <c r="D9" s="20">
        <v>20</v>
      </c>
    </row>
    <row r="10" ht="15" customHeight="1"/>
    <row r="11" ht="15" customHeight="1" hidden="1"/>
    <row r="12" ht="15" customHeight="1" hidden="1"/>
    <row r="13" ht="15" customHeight="1" hidden="1"/>
    <row r="14" spans="1:4" ht="15" customHeight="1" hidden="1">
      <c r="A14" s="547" t="s">
        <v>286</v>
      </c>
      <c r="B14" s="547"/>
      <c r="C14" s="547"/>
      <c r="D14" s="547"/>
    </row>
    <row r="15" spans="1:4" ht="15" customHeight="1" hidden="1">
      <c r="A15" s="93" t="s">
        <v>132</v>
      </c>
      <c r="B15" s="93" t="s">
        <v>131</v>
      </c>
      <c r="C15" s="93" t="s">
        <v>130</v>
      </c>
      <c r="D15" s="93" t="s">
        <v>129</v>
      </c>
    </row>
    <row r="16" spans="1:4" ht="15" customHeight="1" hidden="1">
      <c r="A16" s="93">
        <v>1</v>
      </c>
      <c r="B16" s="93">
        <v>2</v>
      </c>
      <c r="C16" s="93">
        <v>3</v>
      </c>
      <c r="D16" s="93">
        <v>4</v>
      </c>
    </row>
    <row r="17" spans="1:3" s="38" customFormat="1" ht="15" customHeight="1" hidden="1">
      <c r="A17" s="22"/>
      <c r="B17" s="22"/>
      <c r="C17" s="22"/>
    </row>
    <row r="18" ht="15" customHeight="1" hidden="1"/>
    <row r="19" ht="15" customHeight="1" hidden="1"/>
    <row r="20" ht="15" customHeight="1" hidden="1">
      <c r="A20" s="44" t="s">
        <v>1</v>
      </c>
    </row>
    <row r="21" ht="15" customHeight="1" hidden="1">
      <c r="A21" s="22" t="s">
        <v>2</v>
      </c>
    </row>
    <row r="22" ht="15" customHeight="1" hidden="1"/>
    <row r="23" ht="15" customHeight="1"/>
    <row r="24" spans="1:4" ht="49.5" customHeight="1">
      <c r="A24" s="522" t="s">
        <v>373</v>
      </c>
      <c r="B24" s="522"/>
      <c r="C24" s="105">
        <f>IF($D$9&gt;=7,D16,(IF(AND($D$9&lt;7,$D$9&gt;=5),C16,(IF(AND($D$9&lt;5,$D$9&gt;=3),B16,A16)))))</f>
        <v>4</v>
      </c>
      <c r="D24" s="106" t="s">
        <v>292</v>
      </c>
    </row>
    <row r="25" spans="2:4" s="46" customFormat="1" ht="15" customHeight="1">
      <c r="B25" s="49"/>
      <c r="C25" s="49"/>
      <c r="D25" s="49"/>
    </row>
    <row r="26" ht="15" customHeight="1"/>
    <row r="27" spans="1:4" ht="19.5" customHeight="1">
      <c r="A27" s="438" t="s">
        <v>328</v>
      </c>
      <c r="B27" s="438"/>
      <c r="C27" s="438"/>
      <c r="D27" s="438"/>
    </row>
    <row r="28" spans="1:4" ht="15" customHeight="1">
      <c r="A28" s="39" t="s">
        <v>153</v>
      </c>
      <c r="D28" s="58" t="s">
        <v>154</v>
      </c>
    </row>
    <row r="29" spans="1:4" ht="12">
      <c r="A29" s="451" t="s">
        <v>444</v>
      </c>
      <c r="B29" s="451"/>
      <c r="C29" s="451"/>
      <c r="D29" s="451"/>
    </row>
    <row r="63" ht="138.75">
      <c r="A63" s="409" t="s">
        <v>647</v>
      </c>
    </row>
  </sheetData>
  <sheetProtection password="DF64" sheet="1"/>
  <mergeCells count="8">
    <mergeCell ref="A29:D29"/>
    <mergeCell ref="A1:D1"/>
    <mergeCell ref="A24:B24"/>
    <mergeCell ref="A3:D3"/>
    <mergeCell ref="A27:D27"/>
    <mergeCell ref="A9:C9"/>
    <mergeCell ref="A14:D14"/>
    <mergeCell ref="A4:D6"/>
  </mergeCells>
  <hyperlinks>
    <hyperlink ref="A27" r:id="rId1" display="Cliquez ici pour commencer"/>
    <hyperlink ref="A27:D27" location="'15'!A1" display="Cliquez ici pour continuer"/>
    <hyperlink ref="A28" location="'13'!A1" display="retour"/>
    <hyperlink ref="D28" location="'15'!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15.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E16" sqref="E16"/>
    </sheetView>
  </sheetViews>
  <sheetFormatPr defaultColWidth="11.421875" defaultRowHeight="12.75"/>
  <cols>
    <col min="1" max="3" width="25.7109375" style="22" customWidth="1"/>
    <col min="4" max="4" width="12.7109375" style="22" customWidth="1"/>
    <col min="5" max="5" width="25.7109375" style="22" customWidth="1"/>
    <col min="6" max="16384" width="11.421875" style="22" customWidth="1"/>
  </cols>
  <sheetData>
    <row r="1" spans="1:5" ht="34.5" customHeight="1">
      <c r="A1" s="549" t="s">
        <v>604</v>
      </c>
      <c r="B1" s="550"/>
      <c r="C1" s="550"/>
      <c r="D1" s="550"/>
      <c r="E1" s="550"/>
    </row>
    <row r="2" ht="15" customHeight="1"/>
    <row r="3" ht="15" customHeight="1"/>
    <row r="4" spans="1:5" s="151" customFormat="1" ht="19.5" customHeight="1">
      <c r="A4" s="523" t="s">
        <v>499</v>
      </c>
      <c r="B4" s="523"/>
      <c r="C4" s="523"/>
      <c r="D4" s="150">
        <f>8!C29+(9!C26*2)+'10'!C30+'11'!C28+'12'!C27+('13'!C27*2)+'14'!C24</f>
        <v>29</v>
      </c>
      <c r="E4" s="106" t="str">
        <f>CONCATENATE("sur ",D5," points")</f>
        <v>sur 36 points</v>
      </c>
    </row>
    <row r="5" spans="1:5" s="151" customFormat="1" ht="19.5" customHeight="1" hidden="1">
      <c r="A5" s="523" t="s">
        <v>347</v>
      </c>
      <c r="B5" s="523"/>
      <c r="C5" s="523"/>
      <c r="D5" s="150">
        <f>(COUNTA(8!C29,'10'!C30,'11'!C28,'12'!C27)+COUNTA('14'!C24)+COUNTA(9!C26,'13'!C27)*2)*4</f>
        <v>36</v>
      </c>
      <c r="E5" s="106" t="s">
        <v>577</v>
      </c>
    </row>
    <row r="6" spans="1:5" ht="19.5" customHeight="1">
      <c r="A6" s="103"/>
      <c r="B6" s="104"/>
      <c r="C6" s="104" t="s">
        <v>346</v>
      </c>
      <c r="D6" s="152">
        <f>D4/D5</f>
        <v>0.8055555555555556</v>
      </c>
      <c r="E6" s="153" t="s">
        <v>500</v>
      </c>
    </row>
    <row r="7" ht="15" customHeight="1" hidden="1"/>
    <row r="8" spans="1:5" s="38" customFormat="1" ht="15" customHeight="1" hidden="1">
      <c r="A8" s="44" t="s">
        <v>335</v>
      </c>
      <c r="B8" s="22"/>
      <c r="C8" s="22"/>
      <c r="D8" s="22"/>
      <c r="E8" s="22"/>
    </row>
    <row r="9" spans="1:5" ht="15" customHeight="1" hidden="1">
      <c r="A9" s="154" t="s">
        <v>342</v>
      </c>
      <c r="D9" s="38"/>
      <c r="E9" s="38"/>
    </row>
    <row r="10" ht="15" customHeight="1" hidden="1">
      <c r="A10" s="154" t="s">
        <v>343</v>
      </c>
    </row>
    <row r="11" ht="15" customHeight="1" hidden="1">
      <c r="A11" s="154" t="s">
        <v>572</v>
      </c>
    </row>
    <row r="12" ht="15" customHeight="1" hidden="1">
      <c r="A12" s="22" t="s">
        <v>344</v>
      </c>
    </row>
    <row r="13" ht="15" customHeight="1"/>
    <row r="14" ht="15" customHeight="1"/>
    <row r="15" spans="1:5" ht="19.5" customHeight="1">
      <c r="A15" s="438" t="s">
        <v>296</v>
      </c>
      <c r="B15" s="438"/>
      <c r="C15" s="438"/>
      <c r="D15" s="438"/>
      <c r="E15" s="438"/>
    </row>
    <row r="16" spans="1:5" ht="12">
      <c r="A16" s="39" t="s">
        <v>153</v>
      </c>
      <c r="E16" s="58" t="s">
        <v>154</v>
      </c>
    </row>
    <row r="17" ht="12">
      <c r="A17" s="22" t="s">
        <v>379</v>
      </c>
    </row>
    <row r="18" spans="1:5" ht="12">
      <c r="A18" s="451" t="s">
        <v>445</v>
      </c>
      <c r="B18" s="451"/>
      <c r="C18" s="451"/>
      <c r="D18" s="451"/>
      <c r="E18" s="451"/>
    </row>
    <row r="63" ht="138.75">
      <c r="A63" s="409" t="s">
        <v>647</v>
      </c>
    </row>
  </sheetData>
  <sheetProtection password="DF64" sheet="1"/>
  <mergeCells count="5">
    <mergeCell ref="A18:E18"/>
    <mergeCell ref="A1:E1"/>
    <mergeCell ref="A15:E15"/>
    <mergeCell ref="A4:C4"/>
    <mergeCell ref="A5:C5"/>
  </mergeCells>
  <hyperlinks>
    <hyperlink ref="A15" r:id="rId1" display="Cliquez ici pour commencer"/>
    <hyperlink ref="A15:E15" location="'16'!A1" display="Cliquez ici pour poursuivre et évaluer la qualité de votre outil de travail"/>
    <hyperlink ref="A16" location="'14'!A1" display="retour"/>
    <hyperlink ref="E16" location="'16'!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16.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F26" sqref="F26"/>
    </sheetView>
  </sheetViews>
  <sheetFormatPr defaultColWidth="11.421875" defaultRowHeight="12.75"/>
  <cols>
    <col min="1" max="6" width="20.7109375" style="22" customWidth="1"/>
    <col min="7" max="7" width="15.7109375" style="22" customWidth="1"/>
    <col min="8" max="16384" width="11.421875" style="22" customWidth="1"/>
  </cols>
  <sheetData>
    <row r="1" spans="1:6" ht="34.5" customHeight="1">
      <c r="A1" s="511" t="s">
        <v>605</v>
      </c>
      <c r="B1" s="511"/>
      <c r="C1" s="511"/>
      <c r="D1" s="511"/>
      <c r="E1" s="511"/>
      <c r="F1" s="511"/>
    </row>
    <row r="2" ht="15" customHeight="1"/>
    <row r="3" ht="15" customHeight="1">
      <c r="A3" s="155" t="s">
        <v>361</v>
      </c>
    </row>
    <row r="4" ht="15" customHeight="1">
      <c r="A4" s="22" t="s">
        <v>628</v>
      </c>
    </row>
    <row r="5" s="144" customFormat="1" ht="15" customHeight="1">
      <c r="A5" s="144" t="s">
        <v>341</v>
      </c>
    </row>
    <row r="6" s="144" customFormat="1" ht="15" customHeight="1">
      <c r="A6" s="144" t="s">
        <v>384</v>
      </c>
    </row>
    <row r="7" s="144" customFormat="1" ht="15" customHeight="1">
      <c r="A7" s="22"/>
    </row>
    <row r="8" s="144" customFormat="1" ht="15" customHeight="1" thickBot="1">
      <c r="A8" s="22"/>
    </row>
    <row r="9" spans="1:6" s="144" customFormat="1" ht="24.75" customHeight="1">
      <c r="A9" s="494" t="s">
        <v>380</v>
      </c>
      <c r="B9" s="495"/>
      <c r="C9" s="495"/>
      <c r="D9" s="495"/>
      <c r="E9" s="495"/>
      <c r="F9" s="496"/>
    </row>
    <row r="10" spans="1:6" s="144" customFormat="1" ht="24.75" customHeight="1">
      <c r="A10" s="541"/>
      <c r="B10" s="534"/>
      <c r="C10" s="534"/>
      <c r="D10" s="534"/>
      <c r="E10" s="534"/>
      <c r="F10" s="542"/>
    </row>
    <row r="11" spans="1:6" s="144" customFormat="1" ht="24.75" customHeight="1" thickBot="1">
      <c r="A11" s="543"/>
      <c r="B11" s="544"/>
      <c r="C11" s="544"/>
      <c r="D11" s="544"/>
      <c r="E11" s="544"/>
      <c r="F11" s="545"/>
    </row>
    <row r="12" s="144" customFormat="1" ht="15" customHeight="1">
      <c r="A12" s="22"/>
    </row>
    <row r="13" ht="15" customHeight="1"/>
    <row r="14" spans="1:6" ht="72.75" customHeight="1">
      <c r="A14" s="553" t="s">
        <v>359</v>
      </c>
      <c r="B14" s="553"/>
      <c r="C14" s="558" t="s">
        <v>504</v>
      </c>
      <c r="D14" s="559"/>
      <c r="E14" s="558" t="s">
        <v>505</v>
      </c>
      <c r="F14" s="560"/>
    </row>
    <row r="15" spans="1:6" ht="15" customHeight="1">
      <c r="A15" s="554" t="s">
        <v>506</v>
      </c>
      <c r="B15" s="554"/>
      <c r="C15" s="551">
        <v>485879</v>
      </c>
      <c r="D15" s="552"/>
      <c r="E15" s="551">
        <v>88197</v>
      </c>
      <c r="F15" s="552"/>
    </row>
    <row r="16" spans="1:6" ht="15" customHeight="1">
      <c r="A16" s="555" t="s">
        <v>507</v>
      </c>
      <c r="B16" s="555"/>
      <c r="C16" s="556">
        <v>22280</v>
      </c>
      <c r="D16" s="557"/>
      <c r="E16" s="556">
        <v>761</v>
      </c>
      <c r="F16" s="557"/>
    </row>
    <row r="17" spans="1:6" ht="15" customHeight="1">
      <c r="A17" s="554" t="s">
        <v>508</v>
      </c>
      <c r="B17" s="554"/>
      <c r="C17" s="551">
        <v>88675</v>
      </c>
      <c r="D17" s="552"/>
      <c r="E17" s="551">
        <v>11856</v>
      </c>
      <c r="F17" s="552"/>
    </row>
    <row r="18" spans="1:6" ht="15" customHeight="1">
      <c r="A18" s="555" t="s">
        <v>509</v>
      </c>
      <c r="B18" s="555"/>
      <c r="C18" s="556">
        <v>0</v>
      </c>
      <c r="D18" s="557"/>
      <c r="E18" s="556">
        <v>0</v>
      </c>
      <c r="F18" s="557"/>
    </row>
    <row r="19" spans="1:6" ht="15" customHeight="1">
      <c r="A19" s="554" t="s">
        <v>510</v>
      </c>
      <c r="B19" s="554"/>
      <c r="C19" s="551">
        <v>0</v>
      </c>
      <c r="D19" s="552"/>
      <c r="E19" s="551">
        <v>0</v>
      </c>
      <c r="F19" s="552"/>
    </row>
    <row r="20" spans="1:6" ht="15" customHeight="1">
      <c r="A20" s="553" t="s">
        <v>110</v>
      </c>
      <c r="B20" s="553"/>
      <c r="C20" s="562">
        <f>SUM(C15:D19)</f>
        <v>596834</v>
      </c>
      <c r="D20" s="563"/>
      <c r="E20" s="562">
        <f>SUM(E15:F19)</f>
        <v>100814</v>
      </c>
      <c r="F20" s="563"/>
    </row>
    <row r="21" spans="1:7" ht="24.75" customHeight="1">
      <c r="A21" s="49"/>
      <c r="B21" s="158"/>
      <c r="C21" s="159"/>
      <c r="D21" s="159"/>
      <c r="E21" s="159"/>
      <c r="F21" s="159"/>
      <c r="G21" s="49"/>
    </row>
    <row r="22" spans="1:6" ht="49.5" customHeight="1">
      <c r="A22" s="561" t="s">
        <v>358</v>
      </c>
      <c r="B22" s="561"/>
      <c r="C22" s="561"/>
      <c r="D22" s="561"/>
      <c r="E22" s="564">
        <f>E20/C20</f>
        <v>0.1689146395815252</v>
      </c>
      <c r="F22" s="564"/>
    </row>
    <row r="23" ht="15" customHeight="1"/>
    <row r="24" ht="15" customHeight="1"/>
    <row r="25" spans="1:6" ht="19.5" customHeight="1">
      <c r="A25" s="438" t="s">
        <v>353</v>
      </c>
      <c r="B25" s="438"/>
      <c r="C25" s="438"/>
      <c r="D25" s="438"/>
      <c r="E25" s="438"/>
      <c r="F25" s="438"/>
    </row>
    <row r="26" spans="1:6" ht="12">
      <c r="A26" s="39" t="s">
        <v>153</v>
      </c>
      <c r="F26" s="58" t="s">
        <v>154</v>
      </c>
    </row>
    <row r="27" spans="1:6" ht="12">
      <c r="A27" s="451" t="s">
        <v>446</v>
      </c>
      <c r="B27" s="451"/>
      <c r="C27" s="451"/>
      <c r="D27" s="451"/>
      <c r="E27" s="451"/>
      <c r="F27" s="451"/>
    </row>
    <row r="63" ht="176.25">
      <c r="A63" s="409" t="s">
        <v>647</v>
      </c>
    </row>
  </sheetData>
  <sheetProtection password="DF64" sheet="1"/>
  <mergeCells count="27">
    <mergeCell ref="A17:B17"/>
    <mergeCell ref="A18:B18"/>
    <mergeCell ref="A19:B19"/>
    <mergeCell ref="E18:F18"/>
    <mergeCell ref="C19:D19"/>
    <mergeCell ref="E19:F19"/>
    <mergeCell ref="C17:D17"/>
    <mergeCell ref="C15:D15"/>
    <mergeCell ref="A27:F27"/>
    <mergeCell ref="A22:D22"/>
    <mergeCell ref="C20:D20"/>
    <mergeCell ref="E20:F20"/>
    <mergeCell ref="E22:F22"/>
    <mergeCell ref="A25:F25"/>
    <mergeCell ref="E17:F17"/>
    <mergeCell ref="C18:D18"/>
    <mergeCell ref="A20:B20"/>
    <mergeCell ref="E15:F15"/>
    <mergeCell ref="A1:F1"/>
    <mergeCell ref="A14:B14"/>
    <mergeCell ref="A15:B15"/>
    <mergeCell ref="A16:B16"/>
    <mergeCell ref="A9:F11"/>
    <mergeCell ref="C16:D16"/>
    <mergeCell ref="E16:F16"/>
    <mergeCell ref="C14:D14"/>
    <mergeCell ref="E14:F14"/>
  </mergeCells>
  <hyperlinks>
    <hyperlink ref="A25" r:id="rId1" display="Cliquez ici pour commencer"/>
    <hyperlink ref="A25:E25" r:id="rId2" display="Cliquez ici pour poursuivre"/>
    <hyperlink ref="A25:G25" r:id="rId3" display="Cliquez ici pour poursuivre"/>
    <hyperlink ref="A25:F25" location="'17'!A1" display="Cliquez ici pour poursuivre"/>
    <hyperlink ref="A26" location="'15'!A1" display="retour"/>
    <hyperlink ref="F26" location="'17'!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17.xml><?xml version="1.0" encoding="utf-8"?>
<worksheet xmlns="http://schemas.openxmlformats.org/spreadsheetml/2006/main" xmlns:r="http://schemas.openxmlformats.org/officeDocument/2006/relationships">
  <dimension ref="A1:N63"/>
  <sheetViews>
    <sheetView showGridLines="0" zoomScalePageLayoutView="0" workbookViewId="0" topLeftCell="A31">
      <selection activeCell="K45" sqref="K45"/>
    </sheetView>
  </sheetViews>
  <sheetFormatPr defaultColWidth="11.421875" defaultRowHeight="12.75"/>
  <cols>
    <col min="1" max="1" width="47.7109375" style="22" customWidth="1"/>
    <col min="2" max="2" width="7.7109375" style="138" customWidth="1"/>
    <col min="3" max="3" width="8.140625" style="22" customWidth="1"/>
    <col min="4" max="11" width="13.7109375" style="22" customWidth="1"/>
    <col min="12" max="16384" width="11.421875" style="22" customWidth="1"/>
  </cols>
  <sheetData>
    <row r="1" spans="1:11" ht="34.5" customHeight="1">
      <c r="A1" s="511" t="s">
        <v>606</v>
      </c>
      <c r="B1" s="439"/>
      <c r="C1" s="439"/>
      <c r="D1" s="439"/>
      <c r="E1" s="439"/>
      <c r="F1" s="439"/>
      <c r="G1" s="439"/>
      <c r="H1" s="439"/>
      <c r="I1" s="439"/>
      <c r="J1" s="439"/>
      <c r="K1" s="439"/>
    </row>
    <row r="2" spans="1:8" ht="15" customHeight="1">
      <c r="A2" s="577"/>
      <c r="B2" s="577"/>
      <c r="C2" s="577"/>
      <c r="D2" s="577"/>
      <c r="E2" s="577"/>
      <c r="F2" s="577"/>
      <c r="G2" s="577"/>
      <c r="H2" s="577"/>
    </row>
    <row r="3" ht="15" customHeight="1">
      <c r="A3" s="155" t="s">
        <v>629</v>
      </c>
    </row>
    <row r="4" ht="15" customHeight="1" thickBot="1"/>
    <row r="5" spans="1:11" ht="30" customHeight="1" thickBot="1">
      <c r="A5" s="571" t="s">
        <v>134</v>
      </c>
      <c r="B5" s="572"/>
      <c r="D5" s="574" t="s">
        <v>511</v>
      </c>
      <c r="E5" s="575"/>
      <c r="F5" s="575"/>
      <c r="G5" s="575"/>
      <c r="H5" s="575"/>
      <c r="I5" s="575"/>
      <c r="J5" s="575"/>
      <c r="K5" s="576"/>
    </row>
    <row r="6" spans="1:11" ht="30" customHeight="1" thickBot="1">
      <c r="A6" s="161" t="s">
        <v>636</v>
      </c>
      <c r="B6" s="21">
        <v>4</v>
      </c>
      <c r="C6" s="162"/>
      <c r="D6" s="573" t="s">
        <v>562</v>
      </c>
      <c r="E6" s="569"/>
      <c r="F6" s="569"/>
      <c r="G6" s="569"/>
      <c r="H6" s="569"/>
      <c r="I6" s="569"/>
      <c r="J6" s="569"/>
      <c r="K6" s="570"/>
    </row>
    <row r="7" spans="1:11" ht="45" customHeight="1" thickBot="1">
      <c r="A7" s="163" t="s">
        <v>638</v>
      </c>
      <c r="B7" s="21">
        <v>4</v>
      </c>
      <c r="C7" s="162"/>
      <c r="D7" s="573" t="s">
        <v>637</v>
      </c>
      <c r="E7" s="582"/>
      <c r="F7" s="582"/>
      <c r="G7" s="582"/>
      <c r="H7" s="582"/>
      <c r="I7" s="582"/>
      <c r="J7" s="582"/>
      <c r="K7" s="583"/>
    </row>
    <row r="8" spans="1:11" ht="39.75" customHeight="1" thickBot="1">
      <c r="A8" s="163" t="s">
        <v>136</v>
      </c>
      <c r="B8" s="21">
        <v>4</v>
      </c>
      <c r="C8" s="162"/>
      <c r="D8" s="565" t="s">
        <v>473</v>
      </c>
      <c r="E8" s="569"/>
      <c r="F8" s="569"/>
      <c r="G8" s="569"/>
      <c r="H8" s="569"/>
      <c r="I8" s="569"/>
      <c r="J8" s="569"/>
      <c r="K8" s="570"/>
    </row>
    <row r="9" spans="1:11" ht="55.5" customHeight="1" thickBot="1">
      <c r="A9" s="163" t="s">
        <v>137</v>
      </c>
      <c r="B9" s="21">
        <v>2</v>
      </c>
      <c r="C9" s="162"/>
      <c r="D9" s="578" t="s">
        <v>639</v>
      </c>
      <c r="E9" s="579"/>
      <c r="F9" s="579"/>
      <c r="G9" s="579"/>
      <c r="H9" s="579"/>
      <c r="I9" s="579"/>
      <c r="J9" s="579"/>
      <c r="K9" s="580"/>
    </row>
    <row r="10" spans="1:11" ht="48.75" customHeight="1" thickBot="1">
      <c r="A10" s="163" t="s">
        <v>138</v>
      </c>
      <c r="B10" s="21">
        <v>1</v>
      </c>
      <c r="C10" s="162"/>
      <c r="D10" s="578" t="s">
        <v>640</v>
      </c>
      <c r="E10" s="579"/>
      <c r="F10" s="579"/>
      <c r="G10" s="579"/>
      <c r="H10" s="579"/>
      <c r="I10" s="579"/>
      <c r="J10" s="579"/>
      <c r="K10" s="580"/>
    </row>
    <row r="11" spans="1:11" ht="37.5" customHeight="1" thickBot="1">
      <c r="A11" s="163" t="s">
        <v>139</v>
      </c>
      <c r="B11" s="21">
        <v>2</v>
      </c>
      <c r="C11" s="162"/>
      <c r="D11" s="578" t="s">
        <v>642</v>
      </c>
      <c r="E11" s="579"/>
      <c r="F11" s="579"/>
      <c r="G11" s="579"/>
      <c r="H11" s="579"/>
      <c r="I11" s="579"/>
      <c r="J11" s="579"/>
      <c r="K11" s="580"/>
    </row>
    <row r="12" spans="1:11" ht="39.75" customHeight="1" thickBot="1">
      <c r="A12" s="163" t="s">
        <v>140</v>
      </c>
      <c r="B12" s="21">
        <v>2</v>
      </c>
      <c r="C12" s="162"/>
      <c r="D12" s="578" t="s">
        <v>643</v>
      </c>
      <c r="E12" s="579"/>
      <c r="F12" s="579"/>
      <c r="G12" s="579"/>
      <c r="H12" s="579"/>
      <c r="I12" s="579"/>
      <c r="J12" s="579"/>
      <c r="K12" s="580"/>
    </row>
    <row r="13" spans="1:11" ht="93" customHeight="1" thickBot="1">
      <c r="A13" s="163" t="s">
        <v>63</v>
      </c>
      <c r="B13" s="21">
        <v>2</v>
      </c>
      <c r="C13" s="162"/>
      <c r="D13" s="568" t="s">
        <v>222</v>
      </c>
      <c r="E13" s="569"/>
      <c r="F13" s="569"/>
      <c r="G13" s="569"/>
      <c r="H13" s="569"/>
      <c r="I13" s="569"/>
      <c r="J13" s="569"/>
      <c r="K13" s="570"/>
    </row>
    <row r="14" spans="1:11" ht="79.5" customHeight="1" thickBot="1">
      <c r="A14" s="164" t="s">
        <v>141</v>
      </c>
      <c r="B14" s="21">
        <v>1</v>
      </c>
      <c r="C14" s="165"/>
      <c r="D14" s="565" t="s">
        <v>573</v>
      </c>
      <c r="E14" s="569"/>
      <c r="F14" s="569"/>
      <c r="G14" s="569"/>
      <c r="H14" s="569"/>
      <c r="I14" s="569"/>
      <c r="J14" s="569"/>
      <c r="K14" s="570"/>
    </row>
    <row r="15" spans="1:8" ht="15">
      <c r="A15" s="166"/>
      <c r="B15" s="167"/>
      <c r="C15" s="168"/>
      <c r="D15" s="169"/>
      <c r="E15" s="169"/>
      <c r="F15" s="169"/>
      <c r="G15" s="169"/>
      <c r="H15" s="169"/>
    </row>
    <row r="16" spans="1:7" ht="15" thickBot="1">
      <c r="A16" s="170" t="s">
        <v>133</v>
      </c>
      <c r="B16" s="171"/>
      <c r="C16" s="172"/>
      <c r="D16" s="172"/>
      <c r="E16" s="172"/>
      <c r="F16" s="172"/>
      <c r="G16" s="172"/>
    </row>
    <row r="17" spans="1:11" ht="30" customHeight="1" thickBot="1">
      <c r="A17" s="571" t="s">
        <v>142</v>
      </c>
      <c r="B17" s="572"/>
      <c r="C17" s="172"/>
      <c r="D17" s="574" t="s">
        <v>511</v>
      </c>
      <c r="E17" s="575"/>
      <c r="F17" s="575"/>
      <c r="G17" s="575"/>
      <c r="H17" s="575"/>
      <c r="I17" s="575"/>
      <c r="J17" s="575"/>
      <c r="K17" s="576"/>
    </row>
    <row r="18" spans="1:11" ht="69.75" customHeight="1" thickBot="1">
      <c r="A18" s="164" t="s">
        <v>143</v>
      </c>
      <c r="B18" s="21">
        <v>4</v>
      </c>
      <c r="C18" s="174"/>
      <c r="D18" s="573" t="s">
        <v>474</v>
      </c>
      <c r="E18" s="569"/>
      <c r="F18" s="569"/>
      <c r="G18" s="569"/>
      <c r="H18" s="569"/>
      <c r="I18" s="569"/>
      <c r="J18" s="569"/>
      <c r="K18" s="570"/>
    </row>
    <row r="19" spans="1:11" ht="69.75" customHeight="1" thickBot="1">
      <c r="A19" s="164" t="s">
        <v>144</v>
      </c>
      <c r="B19" s="21">
        <v>4</v>
      </c>
      <c r="C19" s="162"/>
      <c r="D19" s="568" t="s">
        <v>574</v>
      </c>
      <c r="E19" s="569"/>
      <c r="F19" s="569"/>
      <c r="G19" s="569"/>
      <c r="H19" s="569"/>
      <c r="I19" s="569"/>
      <c r="J19" s="569"/>
      <c r="K19" s="570"/>
    </row>
    <row r="20" spans="1:14" ht="55.5" customHeight="1" thickBot="1">
      <c r="A20" s="164" t="s">
        <v>575</v>
      </c>
      <c r="B20" s="21">
        <v>1</v>
      </c>
      <c r="C20" s="175" t="str">
        <f>CONCATENATE("Votre ratio = ",ROUND('16'!E22,4)*100," %")</f>
        <v>Votre ratio = 16,89 %</v>
      </c>
      <c r="D20" s="581" t="s">
        <v>641</v>
      </c>
      <c r="E20" s="579"/>
      <c r="F20" s="579"/>
      <c r="G20" s="579"/>
      <c r="H20" s="579"/>
      <c r="I20" s="579"/>
      <c r="J20" s="579"/>
      <c r="K20" s="580"/>
      <c r="N20" s="176"/>
    </row>
    <row r="21" spans="1:11" ht="30" customHeight="1" thickBot="1">
      <c r="A21" s="164" t="s">
        <v>145</v>
      </c>
      <c r="B21" s="21">
        <v>4</v>
      </c>
      <c r="C21" s="174"/>
      <c r="D21" s="565" t="s">
        <v>579</v>
      </c>
      <c r="E21" s="566"/>
      <c r="F21" s="566"/>
      <c r="G21" s="566"/>
      <c r="H21" s="566"/>
      <c r="I21" s="566"/>
      <c r="J21" s="566"/>
      <c r="K21" s="567"/>
    </row>
    <row r="22" spans="1:11" ht="30" customHeight="1" thickBot="1">
      <c r="A22" s="164" t="s">
        <v>146</v>
      </c>
      <c r="B22" s="21">
        <v>4</v>
      </c>
      <c r="C22" s="174"/>
      <c r="D22" s="565" t="s">
        <v>64</v>
      </c>
      <c r="E22" s="566"/>
      <c r="F22" s="566"/>
      <c r="G22" s="566"/>
      <c r="H22" s="566"/>
      <c r="I22" s="566"/>
      <c r="J22" s="566"/>
      <c r="K22" s="567"/>
    </row>
    <row r="23" spans="1:8" ht="15">
      <c r="A23" s="177"/>
      <c r="B23" s="171"/>
      <c r="C23" s="172"/>
      <c r="D23" s="172"/>
      <c r="E23" s="172"/>
      <c r="F23" s="172"/>
      <c r="G23" s="172"/>
      <c r="H23" s="172"/>
    </row>
    <row r="24" spans="1:8" ht="15" thickBot="1">
      <c r="A24" s="178"/>
      <c r="B24" s="171"/>
      <c r="C24" s="172"/>
      <c r="D24" s="172"/>
      <c r="E24" s="172"/>
      <c r="F24" s="172"/>
      <c r="G24" s="172"/>
      <c r="H24" s="172"/>
    </row>
    <row r="25" spans="1:11" ht="30" customHeight="1" thickBot="1">
      <c r="A25" s="571" t="s">
        <v>5</v>
      </c>
      <c r="B25" s="572" t="s">
        <v>135</v>
      </c>
      <c r="C25" s="172"/>
      <c r="D25" s="574" t="s">
        <v>511</v>
      </c>
      <c r="E25" s="575"/>
      <c r="F25" s="575"/>
      <c r="G25" s="575"/>
      <c r="H25" s="575"/>
      <c r="I25" s="575"/>
      <c r="J25" s="575"/>
      <c r="K25" s="576"/>
    </row>
    <row r="26" spans="1:11" ht="30" customHeight="1" thickBot="1">
      <c r="A26" s="164" t="s">
        <v>6</v>
      </c>
      <c r="B26" s="21">
        <v>1</v>
      </c>
      <c r="C26" s="174"/>
      <c r="D26" s="565" t="s">
        <v>65</v>
      </c>
      <c r="E26" s="566"/>
      <c r="F26" s="566"/>
      <c r="G26" s="566"/>
      <c r="H26" s="566"/>
      <c r="I26" s="566"/>
      <c r="J26" s="566"/>
      <c r="K26" s="567"/>
    </row>
    <row r="27" spans="1:11" ht="30" customHeight="1" thickBot="1">
      <c r="A27" s="164" t="s">
        <v>7</v>
      </c>
      <c r="B27" s="21">
        <v>1</v>
      </c>
      <c r="C27" s="174"/>
      <c r="D27" s="573" t="s">
        <v>66</v>
      </c>
      <c r="E27" s="566"/>
      <c r="F27" s="566"/>
      <c r="G27" s="566"/>
      <c r="H27" s="566"/>
      <c r="I27" s="566"/>
      <c r="J27" s="566"/>
      <c r="K27" s="567"/>
    </row>
    <row r="28" spans="1:11" ht="42" customHeight="1" thickBot="1">
      <c r="A28" s="164" t="s">
        <v>8</v>
      </c>
      <c r="B28" s="21">
        <v>1</v>
      </c>
      <c r="C28" s="162"/>
      <c r="D28" s="565" t="s">
        <v>67</v>
      </c>
      <c r="E28" s="566"/>
      <c r="F28" s="566"/>
      <c r="G28" s="566"/>
      <c r="H28" s="566"/>
      <c r="I28" s="566"/>
      <c r="J28" s="566"/>
      <c r="K28" s="567"/>
    </row>
    <row r="29" spans="1:11" ht="30" customHeight="1" thickBot="1">
      <c r="A29" s="164" t="s">
        <v>9</v>
      </c>
      <c r="B29" s="21">
        <v>1</v>
      </c>
      <c r="C29" s="174"/>
      <c r="D29" s="565" t="s">
        <v>68</v>
      </c>
      <c r="E29" s="566"/>
      <c r="F29" s="566"/>
      <c r="G29" s="566"/>
      <c r="H29" s="566"/>
      <c r="I29" s="566"/>
      <c r="J29" s="566"/>
      <c r="K29" s="567"/>
    </row>
    <row r="30" spans="1:11" ht="30" customHeight="1" thickBot="1">
      <c r="A30" s="164" t="s">
        <v>10</v>
      </c>
      <c r="B30" s="21">
        <v>1</v>
      </c>
      <c r="C30" s="174"/>
      <c r="D30" s="565" t="s">
        <v>69</v>
      </c>
      <c r="E30" s="566"/>
      <c r="F30" s="566"/>
      <c r="G30" s="566"/>
      <c r="H30" s="566"/>
      <c r="I30" s="566"/>
      <c r="J30" s="566"/>
      <c r="K30" s="567"/>
    </row>
    <row r="31" spans="1:8" ht="15">
      <c r="A31" s="179"/>
      <c r="B31" s="180"/>
      <c r="C31" s="181"/>
      <c r="D31" s="182"/>
      <c r="E31" s="183"/>
      <c r="F31" s="183"/>
      <c r="G31" s="184"/>
      <c r="H31" s="181"/>
    </row>
    <row r="32" ht="15.75" thickBot="1"/>
    <row r="33" spans="1:11" ht="34.5" customHeight="1" thickBot="1">
      <c r="A33" s="571" t="s">
        <v>11</v>
      </c>
      <c r="B33" s="572" t="s">
        <v>135</v>
      </c>
      <c r="D33" s="574" t="s">
        <v>511</v>
      </c>
      <c r="E33" s="575"/>
      <c r="F33" s="575"/>
      <c r="G33" s="575"/>
      <c r="H33" s="575"/>
      <c r="I33" s="575"/>
      <c r="J33" s="575"/>
      <c r="K33" s="576"/>
    </row>
    <row r="34" spans="1:11" ht="30" customHeight="1" thickBot="1">
      <c r="A34" s="164" t="s">
        <v>12</v>
      </c>
      <c r="B34" s="21">
        <v>4</v>
      </c>
      <c r="C34" s="174"/>
      <c r="D34" s="565" t="s">
        <v>70</v>
      </c>
      <c r="E34" s="566"/>
      <c r="F34" s="566"/>
      <c r="G34" s="566"/>
      <c r="H34" s="566"/>
      <c r="I34" s="566"/>
      <c r="J34" s="566"/>
      <c r="K34" s="567"/>
    </row>
    <row r="35" spans="1:11" ht="30" customHeight="1" thickBot="1">
      <c r="A35" s="164" t="s">
        <v>13</v>
      </c>
      <c r="B35" s="21">
        <v>4</v>
      </c>
      <c r="C35" s="174"/>
      <c r="D35" s="565" t="s">
        <v>71</v>
      </c>
      <c r="E35" s="566"/>
      <c r="F35" s="566"/>
      <c r="G35" s="566"/>
      <c r="H35" s="566"/>
      <c r="I35" s="566"/>
      <c r="J35" s="566"/>
      <c r="K35" s="567"/>
    </row>
    <row r="36" spans="1:11" ht="30" customHeight="1" thickBot="1">
      <c r="A36" s="164" t="s">
        <v>14</v>
      </c>
      <c r="B36" s="21">
        <v>4</v>
      </c>
      <c r="C36" s="174"/>
      <c r="D36" s="565" t="s">
        <v>72</v>
      </c>
      <c r="E36" s="566"/>
      <c r="F36" s="566"/>
      <c r="G36" s="566"/>
      <c r="H36" s="566"/>
      <c r="I36" s="566"/>
      <c r="J36" s="566"/>
      <c r="K36" s="567"/>
    </row>
    <row r="37" spans="1:11" ht="45" customHeight="1" thickBot="1">
      <c r="A37" s="164" t="s">
        <v>15</v>
      </c>
      <c r="B37" s="21">
        <v>4</v>
      </c>
      <c r="C37" s="162"/>
      <c r="D37" s="565" t="s">
        <v>580</v>
      </c>
      <c r="E37" s="566"/>
      <c r="F37" s="566"/>
      <c r="G37" s="566"/>
      <c r="H37" s="566"/>
      <c r="I37" s="566"/>
      <c r="J37" s="566"/>
      <c r="K37" s="567"/>
    </row>
    <row r="38" spans="1:11" ht="30" customHeight="1" thickBot="1">
      <c r="A38" s="164" t="s">
        <v>16</v>
      </c>
      <c r="B38" s="21">
        <v>1</v>
      </c>
      <c r="C38" s="174"/>
      <c r="D38" s="565" t="s">
        <v>73</v>
      </c>
      <c r="E38" s="566"/>
      <c r="F38" s="566"/>
      <c r="G38" s="566"/>
      <c r="H38" s="566"/>
      <c r="I38" s="566"/>
      <c r="J38" s="566"/>
      <c r="K38" s="567"/>
    </row>
    <row r="39" spans="1:11" ht="19.5" customHeight="1" thickBot="1">
      <c r="A39" s="164" t="s">
        <v>17</v>
      </c>
      <c r="B39" s="21">
        <v>1</v>
      </c>
      <c r="C39" s="174"/>
      <c r="D39" s="565" t="s">
        <v>560</v>
      </c>
      <c r="E39" s="566"/>
      <c r="F39" s="566"/>
      <c r="G39" s="566"/>
      <c r="H39" s="566"/>
      <c r="I39" s="566"/>
      <c r="J39" s="566"/>
      <c r="K39" s="567"/>
    </row>
    <row r="40" spans="1:11" ht="19.5" customHeight="1" thickBot="1">
      <c r="A40" s="164" t="s">
        <v>18</v>
      </c>
      <c r="B40" s="21">
        <v>1</v>
      </c>
      <c r="C40" s="174"/>
      <c r="D40" s="565" t="s">
        <v>74</v>
      </c>
      <c r="E40" s="566"/>
      <c r="F40" s="566"/>
      <c r="G40" s="566"/>
      <c r="H40" s="566"/>
      <c r="I40" s="566"/>
      <c r="J40" s="566"/>
      <c r="K40" s="567"/>
    </row>
    <row r="41" spans="1:11" ht="19.5" customHeight="1" thickBot="1">
      <c r="A41" s="164" t="s">
        <v>19</v>
      </c>
      <c r="B41" s="21">
        <v>1</v>
      </c>
      <c r="C41" s="174"/>
      <c r="D41" s="565" t="s">
        <v>75</v>
      </c>
      <c r="E41" s="566"/>
      <c r="F41" s="566"/>
      <c r="G41" s="566"/>
      <c r="H41" s="566"/>
      <c r="I41" s="566"/>
      <c r="J41" s="566"/>
      <c r="K41" s="567"/>
    </row>
    <row r="42" spans="1:11" ht="27" customHeight="1" thickBot="1">
      <c r="A42" s="164" t="s">
        <v>20</v>
      </c>
      <c r="B42" s="21">
        <v>1</v>
      </c>
      <c r="C42" s="162"/>
      <c r="D42" s="565" t="s">
        <v>561</v>
      </c>
      <c r="E42" s="566"/>
      <c r="F42" s="566"/>
      <c r="G42" s="566"/>
      <c r="H42" s="566"/>
      <c r="I42" s="566"/>
      <c r="J42" s="566"/>
      <c r="K42" s="567"/>
    </row>
    <row r="43" ht="19.5" customHeight="1">
      <c r="D43" s="44"/>
    </row>
    <row r="44" spans="1:11" ht="19.5" customHeight="1">
      <c r="A44" s="438" t="s">
        <v>353</v>
      </c>
      <c r="B44" s="438"/>
      <c r="C44" s="438"/>
      <c r="D44" s="438"/>
      <c r="E44" s="438"/>
      <c r="F44" s="438"/>
      <c r="G44" s="438"/>
      <c r="H44" s="438"/>
      <c r="I44" s="438"/>
      <c r="J44" s="438"/>
      <c r="K44" s="438"/>
    </row>
    <row r="45" spans="1:11" ht="12">
      <c r="A45" s="39" t="s">
        <v>153</v>
      </c>
      <c r="B45" s="22"/>
      <c r="K45" s="58" t="s">
        <v>154</v>
      </c>
    </row>
    <row r="46" ht="15">
      <c r="A46" s="22" t="s">
        <v>396</v>
      </c>
    </row>
    <row r="47" spans="1:11" ht="15" customHeight="1">
      <c r="A47" s="451" t="s">
        <v>447</v>
      </c>
      <c r="B47" s="451"/>
      <c r="C47" s="451"/>
      <c r="D47" s="451"/>
      <c r="E47" s="451"/>
      <c r="F47" s="451"/>
      <c r="G47" s="451"/>
      <c r="H47" s="451"/>
      <c r="I47" s="451"/>
      <c r="J47" s="451"/>
      <c r="K47" s="451"/>
    </row>
    <row r="63" ht="102">
      <c r="A63" s="409" t="s">
        <v>647</v>
      </c>
    </row>
  </sheetData>
  <sheetProtection password="DF64" sheet="1"/>
  <mergeCells count="40">
    <mergeCell ref="A47:K47"/>
    <mergeCell ref="D40:K40"/>
    <mergeCell ref="D41:K41"/>
    <mergeCell ref="D42:K42"/>
    <mergeCell ref="A44:K44"/>
    <mergeCell ref="D7:K7"/>
    <mergeCell ref="D34:K34"/>
    <mergeCell ref="D35:K35"/>
    <mergeCell ref="D36:K36"/>
    <mergeCell ref="D37:K37"/>
    <mergeCell ref="D8:K8"/>
    <mergeCell ref="D11:K11"/>
    <mergeCell ref="D12:K12"/>
    <mergeCell ref="D38:K38"/>
    <mergeCell ref="D39:K39"/>
    <mergeCell ref="D27:K27"/>
    <mergeCell ref="D28:K28"/>
    <mergeCell ref="D29:K29"/>
    <mergeCell ref="D30:K30"/>
    <mergeCell ref="D20:K20"/>
    <mergeCell ref="A33:B33"/>
    <mergeCell ref="D33:K33"/>
    <mergeCell ref="D9:K9"/>
    <mergeCell ref="D10:K10"/>
    <mergeCell ref="D25:K25"/>
    <mergeCell ref="D17:K17"/>
    <mergeCell ref="A25:B25"/>
    <mergeCell ref="D26:K26"/>
    <mergeCell ref="D22:K22"/>
    <mergeCell ref="D19:K19"/>
    <mergeCell ref="D21:K21"/>
    <mergeCell ref="D13:K13"/>
    <mergeCell ref="D14:K14"/>
    <mergeCell ref="A17:B17"/>
    <mergeCell ref="D18:K18"/>
    <mergeCell ref="A1:K1"/>
    <mergeCell ref="D5:K5"/>
    <mergeCell ref="A5:B5"/>
    <mergeCell ref="A2:H2"/>
    <mergeCell ref="D6:K6"/>
  </mergeCells>
  <dataValidations count="2">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B34:B42 B18:B22 B26:B30 B9:B14">
      <formula1>"1,2,3,4"</formula1>
    </dataValidation>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B6:B8">
      <formula1>"1,4"</formula1>
    </dataValidation>
  </dataValidations>
  <hyperlinks>
    <hyperlink ref="A44" r:id="rId1" display="Cliquez ici pour commencer"/>
    <hyperlink ref="A44:E44" r:id="rId2" display="Cliquez ici pour poursuivre"/>
    <hyperlink ref="A44:G44" r:id="rId3" display="Cliquez ici pour poursuivre"/>
    <hyperlink ref="A44:K44" location="'18'!A1" display="Cliquez ici pour poursuivre"/>
    <hyperlink ref="A45" location="'16'!A1" display="retour"/>
    <hyperlink ref="K45" location="'18'!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18.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E10" sqref="E10"/>
    </sheetView>
  </sheetViews>
  <sheetFormatPr defaultColWidth="11.421875" defaultRowHeight="12.75"/>
  <cols>
    <col min="1" max="5" width="21.7109375" style="22" customWidth="1"/>
    <col min="6" max="16384" width="11.421875" style="22" customWidth="1"/>
  </cols>
  <sheetData>
    <row r="1" spans="1:5" ht="34.5" customHeight="1">
      <c r="A1" s="549" t="s">
        <v>607</v>
      </c>
      <c r="B1" s="550"/>
      <c r="C1" s="550"/>
      <c r="D1" s="550"/>
      <c r="E1" s="550"/>
    </row>
    <row r="2" ht="15" customHeight="1"/>
    <row r="3" ht="15" customHeight="1"/>
    <row r="4" spans="1:5" s="46" customFormat="1" ht="19.5" customHeight="1">
      <c r="A4" s="522" t="s">
        <v>345</v>
      </c>
      <c r="B4" s="523"/>
      <c r="C4" s="523"/>
      <c r="D4" s="150">
        <f>+(SUM('17'!B6:B14,'17'!B19:B20,'17'!B28,'17'!B37,'17'!B42)*2)+(SUM('17'!B18,'17'!B21:B22,'17'!B26:B27,'17'!B29:B30,'17'!B34:B36,'17'!B38:B41))</f>
        <v>98</v>
      </c>
      <c r="E4" s="106" t="str">
        <f>CONCATENATE("sur ",D5," points")</f>
        <v>sur 180 points</v>
      </c>
    </row>
    <row r="5" spans="1:5" s="46" customFormat="1" ht="19.5" customHeight="1">
      <c r="A5" s="523" t="s">
        <v>347</v>
      </c>
      <c r="B5" s="523"/>
      <c r="C5" s="523"/>
      <c r="D5" s="150">
        <f>+(COUNTA('17'!B6:B14,'17'!B18:B20,'17'!B28,'17'!B37,'17'!B42))*4*2+(COUNTA('17'!B18,'17'!B21:B22,'17'!B26:B27,'17'!B29:B30,'17'!B34:B36,'17'!B38:B42))*4</f>
        <v>180</v>
      </c>
      <c r="E5" s="106" t="s">
        <v>352</v>
      </c>
    </row>
    <row r="6" spans="1:5" s="46" customFormat="1" ht="19.5" customHeight="1">
      <c r="A6" s="523" t="s">
        <v>346</v>
      </c>
      <c r="B6" s="523"/>
      <c r="C6" s="523"/>
      <c r="D6" s="152">
        <f>D4/D5</f>
        <v>0.5444444444444444</v>
      </c>
      <c r="E6" s="106" t="s">
        <v>500</v>
      </c>
    </row>
    <row r="7" ht="15" customHeight="1"/>
    <row r="8" ht="15" customHeight="1"/>
    <row r="9" spans="1:5" ht="19.5" customHeight="1">
      <c r="A9" s="438" t="s">
        <v>563</v>
      </c>
      <c r="B9" s="438"/>
      <c r="C9" s="438"/>
      <c r="D9" s="438"/>
      <c r="E9" s="438"/>
    </row>
    <row r="10" spans="1:5" ht="15" customHeight="1">
      <c r="A10" s="39" t="s">
        <v>153</v>
      </c>
      <c r="E10" s="58" t="s">
        <v>154</v>
      </c>
    </row>
    <row r="11" ht="12">
      <c r="A11" s="22" t="s">
        <v>379</v>
      </c>
    </row>
    <row r="12" spans="1:5" ht="12">
      <c r="A12" s="451" t="s">
        <v>448</v>
      </c>
      <c r="B12" s="451"/>
      <c r="C12" s="451"/>
      <c r="D12" s="451"/>
      <c r="E12" s="451"/>
    </row>
    <row r="63" ht="176.25">
      <c r="A63" s="409" t="s">
        <v>647</v>
      </c>
    </row>
  </sheetData>
  <sheetProtection password="DF64" sheet="1" objects="1" scenarios="1"/>
  <mergeCells count="6">
    <mergeCell ref="A12:E12"/>
    <mergeCell ref="A1:E1"/>
    <mergeCell ref="A9:E9"/>
    <mergeCell ref="A6:C6"/>
    <mergeCell ref="A4:C4"/>
    <mergeCell ref="A5:C5"/>
  </mergeCells>
  <hyperlinks>
    <hyperlink ref="A9" r:id="rId1" display="Cliquez ici pour commencer"/>
    <hyperlink ref="A9:E9" location="'19'!A1" display="Cliquez ici pour poursuivre l'estimation et évaluer la stratégie marketing"/>
    <hyperlink ref="A10" location="'17'!A1" display="retour"/>
    <hyperlink ref="E10" location="'19'!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19.xml><?xml version="1.0" encoding="utf-8"?>
<worksheet xmlns="http://schemas.openxmlformats.org/spreadsheetml/2006/main" xmlns:r="http://schemas.openxmlformats.org/officeDocument/2006/relationships">
  <dimension ref="A1:Q63"/>
  <sheetViews>
    <sheetView showGridLines="0" zoomScalePageLayoutView="0" workbookViewId="0" topLeftCell="A1">
      <selection activeCell="Q21" sqref="Q21"/>
    </sheetView>
  </sheetViews>
  <sheetFormatPr defaultColWidth="11.421875" defaultRowHeight="12.75"/>
  <cols>
    <col min="1" max="1" width="6.00390625" style="22" customWidth="1"/>
    <col min="2" max="2" width="8.7109375" style="22" customWidth="1"/>
    <col min="3" max="3" width="2.7109375" style="22" customWidth="1"/>
    <col min="4" max="4" width="7.7109375" style="22" customWidth="1"/>
    <col min="5" max="5" width="12.7109375" style="22" customWidth="1"/>
    <col min="6" max="6" width="8.7109375" style="22" customWidth="1"/>
    <col min="7" max="7" width="2.7109375" style="22" customWidth="1"/>
    <col min="8" max="8" width="7.7109375" style="22" customWidth="1"/>
    <col min="9" max="9" width="12.7109375" style="22" customWidth="1"/>
    <col min="10" max="10" width="8.7109375" style="22" customWidth="1"/>
    <col min="11" max="11" width="2.7109375" style="22" customWidth="1"/>
    <col min="12" max="12" width="7.7109375" style="22" customWidth="1"/>
    <col min="13" max="13" width="12.7109375" style="22" customWidth="1"/>
    <col min="14" max="14" width="8.7109375" style="22" customWidth="1"/>
    <col min="15" max="15" width="2.7109375" style="22" customWidth="1"/>
    <col min="16" max="16" width="7.7109375" style="22" customWidth="1"/>
    <col min="17" max="17" width="7.8515625" style="22" customWidth="1"/>
    <col min="18" max="16384" width="11.421875" style="22" customWidth="1"/>
  </cols>
  <sheetData>
    <row r="1" spans="1:17" ht="34.5" customHeight="1">
      <c r="A1" s="511" t="s">
        <v>609</v>
      </c>
      <c r="B1" s="439"/>
      <c r="C1" s="439"/>
      <c r="D1" s="439"/>
      <c r="E1" s="439"/>
      <c r="F1" s="439"/>
      <c r="G1" s="439"/>
      <c r="H1" s="439"/>
      <c r="I1" s="439"/>
      <c r="J1" s="439"/>
      <c r="K1" s="439"/>
      <c r="L1" s="439"/>
      <c r="M1" s="439"/>
      <c r="N1" s="439"/>
      <c r="O1" s="439"/>
      <c r="P1" s="439"/>
      <c r="Q1" s="439"/>
    </row>
    <row r="2" ht="15" customHeight="1"/>
    <row r="3" ht="19.5" customHeight="1">
      <c r="A3" s="43" t="s">
        <v>405</v>
      </c>
    </row>
    <row r="4" s="144" customFormat="1" ht="15" customHeight="1">
      <c r="A4" s="22"/>
    </row>
    <row r="5" spans="1:17" s="144" customFormat="1" ht="15" customHeight="1">
      <c r="A5" s="584" t="s">
        <v>170</v>
      </c>
      <c r="B5" s="585"/>
      <c r="C5" s="585"/>
      <c r="D5" s="585"/>
      <c r="E5" s="585"/>
      <c r="F5" s="585"/>
      <c r="G5" s="585"/>
      <c r="H5" s="585"/>
      <c r="I5" s="585"/>
      <c r="J5" s="585"/>
      <c r="K5" s="585"/>
      <c r="L5" s="585"/>
      <c r="M5" s="585"/>
      <c r="N5" s="585"/>
      <c r="O5" s="586"/>
      <c r="P5" s="593">
        <f>+8!D8</f>
        <v>3</v>
      </c>
      <c r="Q5" s="593"/>
    </row>
    <row r="6" spans="1:17" ht="15" customHeight="1">
      <c r="A6" s="517" t="s">
        <v>476</v>
      </c>
      <c r="B6" s="517"/>
      <c r="C6" s="517"/>
      <c r="D6" s="517"/>
      <c r="E6" s="517"/>
      <c r="F6" s="517"/>
      <c r="G6" s="517"/>
      <c r="H6" s="517"/>
      <c r="I6" s="517"/>
      <c r="J6" s="517"/>
      <c r="K6" s="517"/>
      <c r="L6" s="517"/>
      <c r="M6" s="517"/>
      <c r="N6" s="517"/>
      <c r="O6" s="517"/>
      <c r="P6" s="594">
        <v>0.635</v>
      </c>
      <c r="Q6" s="594"/>
    </row>
    <row r="7" spans="1:17" ht="15" customHeight="1">
      <c r="A7" s="517" t="s">
        <v>475</v>
      </c>
      <c r="B7" s="517"/>
      <c r="C7" s="517"/>
      <c r="D7" s="517"/>
      <c r="E7" s="517"/>
      <c r="F7" s="517"/>
      <c r="G7" s="517"/>
      <c r="H7" s="517"/>
      <c r="I7" s="517"/>
      <c r="J7" s="517"/>
      <c r="K7" s="517"/>
      <c r="L7" s="517"/>
      <c r="M7" s="517"/>
      <c r="N7" s="517"/>
      <c r="O7" s="517"/>
      <c r="P7" s="595">
        <v>60</v>
      </c>
      <c r="Q7" s="595"/>
    </row>
    <row r="8" spans="1:17" ht="15" customHeight="1">
      <c r="A8" s="588" t="s">
        <v>512</v>
      </c>
      <c r="B8" s="588"/>
      <c r="C8" s="588"/>
      <c r="D8" s="588"/>
      <c r="E8" s="588"/>
      <c r="F8" s="588"/>
      <c r="G8" s="588"/>
      <c r="H8" s="588"/>
      <c r="I8" s="588"/>
      <c r="J8" s="588"/>
      <c r="K8" s="588"/>
      <c r="L8" s="588"/>
      <c r="M8" s="588"/>
      <c r="N8" s="588"/>
      <c r="O8" s="588"/>
      <c r="P8" s="587">
        <f>P6*P7</f>
        <v>38.1</v>
      </c>
      <c r="Q8" s="587"/>
    </row>
    <row r="9" ht="15" customHeight="1">
      <c r="K9" s="185"/>
    </row>
    <row r="10" spans="2:17" ht="12.75" hidden="1">
      <c r="B10" s="589" t="s">
        <v>477</v>
      </c>
      <c r="C10" s="589"/>
      <c r="D10" s="589"/>
      <c r="E10" s="589"/>
      <c r="F10" s="589"/>
      <c r="G10" s="589"/>
      <c r="H10" s="589"/>
      <c r="I10" s="589"/>
      <c r="J10" s="589"/>
      <c r="K10" s="589"/>
      <c r="L10" s="589"/>
      <c r="M10" s="589"/>
      <c r="N10" s="589"/>
      <c r="O10" s="589"/>
      <c r="P10" s="589"/>
      <c r="Q10" s="589"/>
    </row>
    <row r="11" spans="2:17" ht="12.75" hidden="1">
      <c r="B11" s="590" t="s">
        <v>478</v>
      </c>
      <c r="C11" s="591"/>
      <c r="D11" s="591"/>
      <c r="E11" s="591"/>
      <c r="F11" s="590" t="s">
        <v>40</v>
      </c>
      <c r="G11" s="591"/>
      <c r="H11" s="591"/>
      <c r="I11" s="592"/>
      <c r="J11" s="590" t="s">
        <v>41</v>
      </c>
      <c r="K11" s="591"/>
      <c r="L11" s="591"/>
      <c r="M11" s="592"/>
      <c r="N11" s="590" t="s">
        <v>42</v>
      </c>
      <c r="O11" s="591"/>
      <c r="P11" s="591"/>
      <c r="Q11" s="592"/>
    </row>
    <row r="12" spans="1:17" ht="12.75" hidden="1">
      <c r="A12" s="186" t="s">
        <v>486</v>
      </c>
      <c r="B12" s="187">
        <f>B15-B15*10%</f>
        <v>21.69</v>
      </c>
      <c r="C12" s="188"/>
      <c r="D12" s="189"/>
      <c r="E12" s="190" t="s">
        <v>479</v>
      </c>
      <c r="F12" s="187">
        <f>F15-F15*10%</f>
        <v>33.12</v>
      </c>
      <c r="G12" s="188"/>
      <c r="H12" s="189"/>
      <c r="I12" s="191" t="s">
        <v>479</v>
      </c>
      <c r="J12" s="187">
        <f>J15-J15*10%</f>
        <v>43.019999999999996</v>
      </c>
      <c r="K12" s="188"/>
      <c r="L12" s="189"/>
      <c r="M12" s="191" t="s">
        <v>479</v>
      </c>
      <c r="N12" s="187">
        <f>N15-N15*10%</f>
        <v>82.35</v>
      </c>
      <c r="O12" s="188"/>
      <c r="P12" s="189"/>
      <c r="Q12" s="191" t="s">
        <v>479</v>
      </c>
    </row>
    <row r="13" spans="1:17" ht="12.75" hidden="1">
      <c r="A13" s="186" t="s">
        <v>484</v>
      </c>
      <c r="B13" s="192">
        <f>ROUND(+($B$15-$B$15*10%),2)</f>
        <v>21.69</v>
      </c>
      <c r="C13" s="193" t="s">
        <v>485</v>
      </c>
      <c r="D13" s="194">
        <f>ROUND((+$B$15-$B$15*5%)-0.01,2)</f>
        <v>22.89</v>
      </c>
      <c r="E13" s="190" t="s">
        <v>481</v>
      </c>
      <c r="F13" s="192">
        <f>ROUND(+($F$15-$F$15*10%),2)</f>
        <v>33.12</v>
      </c>
      <c r="G13" s="193" t="s">
        <v>485</v>
      </c>
      <c r="H13" s="194">
        <f>ROUND((+$F$15-$F$15*5%)-0.01,2)</f>
        <v>34.95</v>
      </c>
      <c r="I13" s="191" t="s">
        <v>481</v>
      </c>
      <c r="J13" s="192">
        <f>ROUND(+($J$15-$J$15*10%),2)</f>
        <v>43.02</v>
      </c>
      <c r="K13" s="193" t="s">
        <v>485</v>
      </c>
      <c r="L13" s="194">
        <f>ROUND((+$J$15-$J$15*5%)-0.01,2)</f>
        <v>45.4</v>
      </c>
      <c r="M13" s="191" t="s">
        <v>481</v>
      </c>
      <c r="N13" s="192">
        <f>ROUND(+($N$15-$N$15*10%),2)</f>
        <v>82.35</v>
      </c>
      <c r="O13" s="193" t="s">
        <v>485</v>
      </c>
      <c r="P13" s="194">
        <f>ROUND((+$N$15-$N$15*5%)-0.01,2)</f>
        <v>86.92</v>
      </c>
      <c r="Q13" s="191" t="s">
        <v>481</v>
      </c>
    </row>
    <row r="14" spans="1:17" ht="12.75" hidden="1">
      <c r="A14" s="186" t="s">
        <v>484</v>
      </c>
      <c r="B14" s="192">
        <f>ROUND(+($B$15-$B$15*5%),2)</f>
        <v>22.9</v>
      </c>
      <c r="C14" s="193" t="s">
        <v>485</v>
      </c>
      <c r="D14" s="194">
        <f>ROUND(+$B$15-0.01,2)</f>
        <v>24.09</v>
      </c>
      <c r="E14" s="190" t="s">
        <v>482</v>
      </c>
      <c r="F14" s="192">
        <f>ROUND(+($F$15-$F$15*5%),2)</f>
        <v>34.96</v>
      </c>
      <c r="G14" s="193" t="s">
        <v>485</v>
      </c>
      <c r="H14" s="194">
        <f>ROUND(+$F$15-0.01,2)</f>
        <v>36.79</v>
      </c>
      <c r="I14" s="191" t="s">
        <v>482</v>
      </c>
      <c r="J14" s="192">
        <f>ROUND(+($J$15-$J$15*5%),2)</f>
        <v>45.41</v>
      </c>
      <c r="K14" s="193" t="s">
        <v>485</v>
      </c>
      <c r="L14" s="194">
        <f>ROUND(+$J$15-0.01,2)</f>
        <v>47.79</v>
      </c>
      <c r="M14" s="191" t="s">
        <v>482</v>
      </c>
      <c r="N14" s="192">
        <f>ROUND(+($N$15-$N$15*5%),2)</f>
        <v>86.93</v>
      </c>
      <c r="O14" s="193" t="s">
        <v>485</v>
      </c>
      <c r="P14" s="194">
        <f>ROUND(+$N$15-0.01,2)</f>
        <v>91.49</v>
      </c>
      <c r="Q14" s="191" t="s">
        <v>482</v>
      </c>
    </row>
    <row r="15" spans="1:17" ht="12.75" hidden="1">
      <c r="A15" s="195" t="s">
        <v>480</v>
      </c>
      <c r="B15" s="196">
        <v>24.1</v>
      </c>
      <c r="C15" s="193"/>
      <c r="D15" s="197"/>
      <c r="E15" s="190" t="s">
        <v>483</v>
      </c>
      <c r="F15" s="196">
        <v>36.8</v>
      </c>
      <c r="G15" s="193"/>
      <c r="H15" s="197"/>
      <c r="I15" s="191" t="s">
        <v>483</v>
      </c>
      <c r="J15" s="196">
        <v>47.8</v>
      </c>
      <c r="K15" s="193"/>
      <c r="L15" s="197"/>
      <c r="M15" s="191" t="s">
        <v>483</v>
      </c>
      <c r="N15" s="196">
        <v>91.5</v>
      </c>
      <c r="O15" s="193"/>
      <c r="P15" s="197"/>
      <c r="Q15" s="191" t="s">
        <v>483</v>
      </c>
    </row>
    <row r="16" spans="1:17" s="38" customFormat="1" ht="15" customHeight="1" hidden="1">
      <c r="A16" s="48"/>
      <c r="B16" s="198" t="s">
        <v>401</v>
      </c>
      <c r="C16" s="199"/>
      <c r="D16" s="200" t="str">
        <f>IF(AND($P$5&lt;=1,$P$8&gt;=$B$15),4,IF(AND($P$5&lt;=1,$P$8&gt;=$B15-($B$15*5%),$P$8&lt;$B$15),3,IF(AND($P$5&lt;=1,$P$8&gt;=$B$15-$B$15*10%,$P$8&lt;$B$15-$B$15*5%),2,IF(AND($P$5&lt;=1,$P$8&lt;=($B$15-($B$15*10%))),1,"???"))))</f>
        <v>???</v>
      </c>
      <c r="E16" s="54" t="str">
        <f>IF(AND(D16&gt;=1,D16&lt;=4),D16,"suite")</f>
        <v>suite</v>
      </c>
      <c r="F16" s="201" t="s">
        <v>402</v>
      </c>
      <c r="G16" s="54"/>
      <c r="H16" s="54" t="str">
        <f>IF(AND($P$5=2,$P$8&gt;=$F$15),4,IF(AND($P$5=2,$P$8&gt;=$F15-($F$15*5%),$P$8&lt;$F$15),3,IF(AND($P$5=2,$P$8&gt;=$F$15-$F$15*10%,$P$8&lt;$F$15-$F$15*5%),2,IF(AND($P$5=2,$P$8&lt;=($F$15-($F$15*10%))),1,"???"))))</f>
        <v>???</v>
      </c>
      <c r="I16" s="54" t="str">
        <f>IF(AND(H16&gt;=1,H16&lt;=4),H16,"suite")</f>
        <v>suite</v>
      </c>
      <c r="J16" s="202" t="s">
        <v>403</v>
      </c>
      <c r="K16" s="203"/>
      <c r="L16" s="54">
        <f>IF(AND($P$5=3,$P$8&gt;=$J$15),4,IF(AND($P$5=3,$P$8&gt;=$J15-($J$15*5%),$P$8&lt;$J$15),3,IF(AND($P$5=3,$P$8&gt;=$J$15-$J$15*10%,$P$8&lt;$J$15-$J$15*5%),2,IF(AND($P$5=3,$P$8&lt;=($J$15-($J$15*10%))),1,"???"))))</f>
        <v>1</v>
      </c>
      <c r="M16" s="54">
        <f>IF(AND(L16&gt;=1,L16&lt;=4),L16,"suite")</f>
        <v>1</v>
      </c>
      <c r="N16" s="202" t="s">
        <v>404</v>
      </c>
      <c r="O16" s="54"/>
      <c r="P16" s="54" t="str">
        <f>IF(AND($P$5&gt;=4,$P$8&gt;=$N$15),4,IF(AND($P$5&gt;=4,$P$8&gt;=$N15-($N$15*5%),$P$8&lt;$N$15),3,IF(AND($P$5&gt;=4,$P$8&gt;=$N$15-$N$15*10%,$P$8&lt;$N$15-$N$15*5%),2,IF(AND($P$5&gt;=4,$P$8&lt;=($N$15-($N$15*10%))),1,"???"))))</f>
        <v>???</v>
      </c>
      <c r="Q16" s="54" t="str">
        <f>IF(AND(P16&gt;=1,P16&lt;=4),P16,"suite")</f>
        <v>suite</v>
      </c>
    </row>
    <row r="17" spans="1:17" s="38" customFormat="1" ht="15" customHeight="1">
      <c r="A17" s="69"/>
      <c r="B17" s="69"/>
      <c r="C17" s="69"/>
      <c r="D17" s="69"/>
      <c r="E17" s="69"/>
      <c r="F17" s="69"/>
      <c r="G17" s="69"/>
      <c r="H17" s="69"/>
      <c r="I17" s="69"/>
      <c r="J17" s="69"/>
      <c r="K17" s="69"/>
      <c r="L17" s="69"/>
      <c r="M17" s="69"/>
      <c r="N17" s="69"/>
      <c r="O17" s="69"/>
      <c r="P17" s="69"/>
      <c r="Q17" s="69"/>
    </row>
    <row r="18" spans="1:17" ht="39.75" customHeight="1">
      <c r="A18" s="561" t="s">
        <v>355</v>
      </c>
      <c r="B18" s="561"/>
      <c r="C18" s="561"/>
      <c r="D18" s="561"/>
      <c r="E18" s="561"/>
      <c r="F18" s="561"/>
      <c r="G18" s="561"/>
      <c r="H18" s="561"/>
      <c r="I18" s="561"/>
      <c r="J18" s="561"/>
      <c r="K18" s="561"/>
      <c r="L18" s="561"/>
      <c r="M18" s="204">
        <f>IF(AND(P16&gt;=1,P16&lt;=4),P16,IF(AND(L16&gt;=1,L16&lt;=4),L16,IF(AND(H16&gt;=1,H16&lt;=4),H16,IF(AND(D16&gt;=1,D16&lt;=4),D16,"suite"))))</f>
        <v>1</v>
      </c>
      <c r="N18" s="204"/>
      <c r="O18" s="205"/>
      <c r="P18" s="205" t="s">
        <v>292</v>
      </c>
      <c r="Q18" s="205"/>
    </row>
    <row r="19" spans="1:17" ht="15" customHeight="1">
      <c r="A19" s="69"/>
      <c r="B19" s="69"/>
      <c r="C19" s="69"/>
      <c r="D19" s="69"/>
      <c r="E19" s="69"/>
      <c r="F19" s="69"/>
      <c r="G19" s="69"/>
      <c r="H19" s="69"/>
      <c r="I19" s="69"/>
      <c r="J19" s="69"/>
      <c r="K19" s="69"/>
      <c r="L19" s="69"/>
      <c r="M19" s="69"/>
      <c r="N19" s="69"/>
      <c r="O19" s="69"/>
      <c r="P19" s="69"/>
      <c r="Q19" s="69"/>
    </row>
    <row r="20" spans="1:17" ht="19.5" customHeight="1">
      <c r="A20" s="438" t="s">
        <v>353</v>
      </c>
      <c r="B20" s="438"/>
      <c r="C20" s="438"/>
      <c r="D20" s="438"/>
      <c r="E20" s="438"/>
      <c r="F20" s="438"/>
      <c r="G20" s="438"/>
      <c r="H20" s="438"/>
      <c r="I20" s="438"/>
      <c r="J20" s="438"/>
      <c r="K20" s="438"/>
      <c r="L20" s="438"/>
      <c r="M20" s="438"/>
      <c r="N20" s="438"/>
      <c r="O20" s="438"/>
      <c r="P20" s="438"/>
      <c r="Q20" s="438"/>
    </row>
    <row r="21" spans="1:17" ht="12">
      <c r="A21" s="39" t="s">
        <v>153</v>
      </c>
      <c r="Q21" s="58" t="s">
        <v>154</v>
      </c>
    </row>
    <row r="22" spans="1:17" ht="12">
      <c r="A22" s="451" t="s">
        <v>449</v>
      </c>
      <c r="B22" s="451"/>
      <c r="C22" s="451"/>
      <c r="D22" s="451"/>
      <c r="E22" s="451"/>
      <c r="F22" s="451"/>
      <c r="G22" s="451"/>
      <c r="H22" s="451"/>
      <c r="I22" s="451"/>
      <c r="J22" s="451"/>
      <c r="K22" s="451"/>
      <c r="L22" s="451"/>
      <c r="M22" s="451"/>
      <c r="N22" s="451"/>
      <c r="O22" s="451"/>
      <c r="P22" s="451"/>
      <c r="Q22" s="451"/>
    </row>
    <row r="63" ht="409.5">
      <c r="A63" s="409" t="s">
        <v>647</v>
      </c>
    </row>
  </sheetData>
  <sheetProtection password="DF64" sheet="1" objects="1" scenarios="1"/>
  <mergeCells count="17">
    <mergeCell ref="A18:L18"/>
    <mergeCell ref="F11:I11"/>
    <mergeCell ref="J11:M11"/>
    <mergeCell ref="N11:Q11"/>
    <mergeCell ref="A22:Q22"/>
    <mergeCell ref="A1:Q1"/>
    <mergeCell ref="P5:Q5"/>
    <mergeCell ref="A20:Q20"/>
    <mergeCell ref="P6:Q6"/>
    <mergeCell ref="P7:Q7"/>
    <mergeCell ref="A5:O5"/>
    <mergeCell ref="P8:Q8"/>
    <mergeCell ref="A8:O8"/>
    <mergeCell ref="A7:O7"/>
    <mergeCell ref="B10:Q10"/>
    <mergeCell ref="B11:E11"/>
    <mergeCell ref="A6:O6"/>
  </mergeCells>
  <hyperlinks>
    <hyperlink ref="A20" r:id="rId1" display="Cliquez ici pour commencer"/>
    <hyperlink ref="A20:F20" r:id="rId2" display="Cliquez ici pour poursuivre"/>
    <hyperlink ref="A20:H20" r:id="rId3" display="Cliquez ici pour poursuivre"/>
    <hyperlink ref="A20:Q20" location="'20'!A1" display="Cliquez ici pour poursuivre"/>
    <hyperlink ref="A21" location="'18'!A1" display="retour"/>
    <hyperlink ref="Q21" location="'20'!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2.xml><?xml version="1.0" encoding="utf-8"?>
<worksheet xmlns="http://schemas.openxmlformats.org/spreadsheetml/2006/main" xmlns:r="http://schemas.openxmlformats.org/officeDocument/2006/relationships">
  <dimension ref="A1:I83"/>
  <sheetViews>
    <sheetView showGridLines="0" zoomScalePageLayoutView="0" workbookViewId="0" topLeftCell="A19">
      <selection activeCell="A39" sqref="A39:F39"/>
    </sheetView>
  </sheetViews>
  <sheetFormatPr defaultColWidth="11.421875" defaultRowHeight="12.75"/>
  <cols>
    <col min="1" max="5" width="14.7109375" style="22" customWidth="1"/>
    <col min="6" max="6" width="25.7109375" style="22" customWidth="1"/>
    <col min="7" max="16384" width="11.421875" style="22" customWidth="1"/>
  </cols>
  <sheetData>
    <row r="1" spans="1:6" ht="34.5" customHeight="1">
      <c r="A1" s="439" t="s">
        <v>326</v>
      </c>
      <c r="B1" s="439"/>
      <c r="C1" s="439"/>
      <c r="D1" s="439"/>
      <c r="E1" s="439"/>
      <c r="F1" s="439"/>
    </row>
    <row r="3" ht="15">
      <c r="A3" s="43" t="s">
        <v>81</v>
      </c>
    </row>
    <row r="4" ht="15" customHeight="1">
      <c r="A4" s="44" t="s">
        <v>229</v>
      </c>
    </row>
    <row r="5" ht="15" customHeight="1">
      <c r="A5" s="44" t="s">
        <v>210</v>
      </c>
    </row>
    <row r="6" ht="15" customHeight="1">
      <c r="A6" s="44" t="s">
        <v>316</v>
      </c>
    </row>
    <row r="7" ht="15" customHeight="1">
      <c r="A7" s="44" t="s">
        <v>317</v>
      </c>
    </row>
    <row r="8" ht="15" customHeight="1">
      <c r="A8" s="44" t="s">
        <v>318</v>
      </c>
    </row>
    <row r="9" ht="15" customHeight="1">
      <c r="A9" s="44" t="s">
        <v>79</v>
      </c>
    </row>
    <row r="10" ht="15" customHeight="1">
      <c r="A10" s="44" t="s">
        <v>212</v>
      </c>
    </row>
    <row r="11" ht="15" customHeight="1">
      <c r="A11" s="44" t="s">
        <v>213</v>
      </c>
    </row>
    <row r="12" ht="15" customHeight="1">
      <c r="A12" s="44" t="s">
        <v>319</v>
      </c>
    </row>
    <row r="13" ht="15" customHeight="1">
      <c r="A13" s="44" t="s">
        <v>80</v>
      </c>
    </row>
    <row r="14" ht="15" customHeight="1">
      <c r="A14" s="44" t="s">
        <v>320</v>
      </c>
    </row>
    <row r="15" ht="15" customHeight="1">
      <c r="A15" s="44" t="s">
        <v>321</v>
      </c>
    </row>
    <row r="16" ht="15" customHeight="1"/>
    <row r="17" ht="15" customHeight="1">
      <c r="A17" s="45" t="s">
        <v>82</v>
      </c>
    </row>
    <row r="18" ht="15" customHeight="1">
      <c r="A18" s="44" t="s">
        <v>329</v>
      </c>
    </row>
    <row r="19" ht="15" customHeight="1">
      <c r="A19" s="22" t="s">
        <v>61</v>
      </c>
    </row>
    <row r="20" ht="15" customHeight="1">
      <c r="A20" s="22" t="s">
        <v>62</v>
      </c>
    </row>
    <row r="21" ht="15" customHeight="1"/>
    <row r="22" ht="15" customHeight="1">
      <c r="A22" s="44" t="s">
        <v>330</v>
      </c>
    </row>
    <row r="23" ht="15" customHeight="1">
      <c r="A23" s="22" t="s">
        <v>76</v>
      </c>
    </row>
    <row r="24" ht="15" customHeight="1">
      <c r="A24" s="22" t="s">
        <v>77</v>
      </c>
    </row>
    <row r="25" ht="15" customHeight="1">
      <c r="A25" s="22" t="s">
        <v>322</v>
      </c>
    </row>
    <row r="26" ht="15" customHeight="1"/>
    <row r="27" ht="15" customHeight="1">
      <c r="A27" s="44" t="s">
        <v>331</v>
      </c>
    </row>
    <row r="28" ht="15" customHeight="1">
      <c r="A28" s="22" t="s">
        <v>323</v>
      </c>
    </row>
    <row r="29" ht="15" customHeight="1">
      <c r="A29" s="22" t="s">
        <v>324</v>
      </c>
    </row>
    <row r="30" ht="12.75" thickBot="1">
      <c r="E30" s="46"/>
    </row>
    <row r="31" spans="1:6" ht="79.5" customHeight="1" thickBot="1">
      <c r="A31" s="434" t="s">
        <v>282</v>
      </c>
      <c r="B31" s="435"/>
      <c r="C31" s="435"/>
      <c r="D31" s="435"/>
      <c r="E31" s="435"/>
      <c r="F31" s="436"/>
    </row>
    <row r="32" spans="3:6" ht="12">
      <c r="C32" s="47"/>
      <c r="D32" s="46"/>
      <c r="E32" s="48"/>
      <c r="F32" s="48"/>
    </row>
    <row r="33" spans="2:6" ht="18">
      <c r="B33" s="46"/>
      <c r="C33" s="49"/>
      <c r="D33" s="50" t="s">
        <v>78</v>
      </c>
      <c r="E33" s="48"/>
      <c r="F33" s="48"/>
    </row>
    <row r="34" spans="3:6" ht="12">
      <c r="C34" s="51"/>
      <c r="D34" s="52"/>
      <c r="E34" s="46"/>
      <c r="F34" s="46"/>
    </row>
    <row r="35" spans="1:6" ht="19.5" customHeight="1">
      <c r="A35" s="53" t="s">
        <v>564</v>
      </c>
      <c r="C35" s="54"/>
      <c r="D35" s="54"/>
      <c r="E35" s="46"/>
      <c r="F35" s="46"/>
    </row>
    <row r="36" spans="1:6" ht="19.5" customHeight="1">
      <c r="A36" s="55" t="s">
        <v>288</v>
      </c>
      <c r="B36" s="56"/>
      <c r="C36" s="57"/>
      <c r="D36" s="57"/>
      <c r="E36" s="57"/>
      <c r="F36" s="57"/>
    </row>
    <row r="37" spans="1:6" ht="31.5" customHeight="1">
      <c r="A37" s="452" t="s">
        <v>336</v>
      </c>
      <c r="B37" s="453"/>
      <c r="C37" s="453"/>
      <c r="D37" s="453"/>
      <c r="E37" s="453"/>
      <c r="F37" s="453"/>
    </row>
    <row r="38" spans="1:6" ht="19.5" customHeight="1">
      <c r="A38" s="55" t="s">
        <v>589</v>
      </c>
      <c r="B38" s="57"/>
      <c r="C38" s="57"/>
      <c r="D38" s="57"/>
      <c r="E38" s="57"/>
      <c r="F38" s="57"/>
    </row>
    <row r="39" spans="1:6" ht="19.5" customHeight="1">
      <c r="A39" s="438" t="s">
        <v>237</v>
      </c>
      <c r="B39" s="438"/>
      <c r="C39" s="438"/>
      <c r="D39" s="438"/>
      <c r="E39" s="438"/>
      <c r="F39" s="438"/>
    </row>
    <row r="40" spans="1:6" ht="12.75">
      <c r="A40" s="39" t="s">
        <v>153</v>
      </c>
      <c r="B40" s="44"/>
      <c r="C40" s="44"/>
      <c r="D40" s="44"/>
      <c r="F40" s="58" t="s">
        <v>154</v>
      </c>
    </row>
    <row r="41" spans="1:6" ht="12">
      <c r="A41" s="451" t="s">
        <v>432</v>
      </c>
      <c r="B41" s="451"/>
      <c r="C41" s="451"/>
      <c r="D41" s="451"/>
      <c r="E41" s="451"/>
      <c r="F41" s="451"/>
    </row>
    <row r="43" spans="1:8" ht="70.5" customHeight="1">
      <c r="A43" s="450" t="s">
        <v>236</v>
      </c>
      <c r="B43" s="450"/>
      <c r="C43" s="450"/>
      <c r="D43" s="450"/>
      <c r="E43" s="450"/>
      <c r="F43" s="450"/>
      <c r="G43" s="89"/>
      <c r="H43" s="89"/>
    </row>
    <row r="44" spans="1:8" ht="12">
      <c r="A44" s="89"/>
      <c r="B44" s="89"/>
      <c r="C44" s="89"/>
      <c r="D44" s="89"/>
      <c r="E44" s="89"/>
      <c r="F44" s="89"/>
      <c r="G44" s="89"/>
      <c r="H44" s="89"/>
    </row>
    <row r="45" spans="1:8" ht="12">
      <c r="A45" s="89"/>
      <c r="B45" s="89"/>
      <c r="C45" s="89"/>
      <c r="D45" s="89"/>
      <c r="E45" s="89"/>
      <c r="F45" s="89"/>
      <c r="G45" s="89"/>
      <c r="H45" s="89"/>
    </row>
    <row r="46" spans="1:8" ht="12">
      <c r="A46" s="89"/>
      <c r="B46" s="89"/>
      <c r="C46" s="89"/>
      <c r="D46" s="89"/>
      <c r="E46" s="89"/>
      <c r="F46" s="89"/>
      <c r="G46" s="89"/>
      <c r="H46" s="89"/>
    </row>
    <row r="47" spans="1:2" ht="12.75">
      <c r="A47" s="59"/>
      <c r="B47" s="59"/>
    </row>
    <row r="63" ht="12.75">
      <c r="A63" s="409"/>
    </row>
    <row r="79" spans="6:9" ht="12">
      <c r="F79" s="46"/>
      <c r="G79" s="46"/>
      <c r="H79" s="46"/>
      <c r="I79" s="46"/>
    </row>
    <row r="80" spans="6:9" ht="12">
      <c r="F80" s="46"/>
      <c r="G80" s="46"/>
      <c r="H80" s="46"/>
      <c r="I80" s="46"/>
    </row>
    <row r="81" spans="6:9" ht="12">
      <c r="F81" s="46"/>
      <c r="G81" s="46"/>
      <c r="H81" s="46"/>
      <c r="I81" s="46"/>
    </row>
    <row r="82" spans="6:9" ht="12">
      <c r="F82" s="46"/>
      <c r="G82" s="46"/>
      <c r="H82" s="46"/>
      <c r="I82" s="46"/>
    </row>
    <row r="83" spans="6:9" ht="12">
      <c r="F83" s="46"/>
      <c r="G83" s="46"/>
      <c r="H83" s="46"/>
      <c r="I83" s="46"/>
    </row>
  </sheetData>
  <sheetProtection password="DF64" sheet="1" objects="1" scenarios="1"/>
  <mergeCells count="6">
    <mergeCell ref="A43:F43"/>
    <mergeCell ref="A1:F1"/>
    <mergeCell ref="A41:F41"/>
    <mergeCell ref="A31:F31"/>
    <mergeCell ref="A37:F37"/>
    <mergeCell ref="A39:F39"/>
  </mergeCells>
  <dataValidations count="1">
    <dataValidation type="list" allowBlank="1" showInputMessage="1" showErrorMessage="1" promptTitle="Une licence IV est-elle vendue" prompt="avec le fonds de commerce ?" errorTitle="Erreur saisie !" error="La valeur que vous avez tapée n'est pas valide.&#10;VEUILLEZ ENTRER oui OU non,&#10;en réponse à la question :&#10;&quot;Une licence IV est-elle vendue avec le restaurant ?&quot;" sqref="D33">
      <formula1>"oui,non"</formula1>
    </dataValidation>
  </dataValidations>
  <hyperlinks>
    <hyperlink ref="A39" r:id="rId1" display="Cliquez ici pour commencer"/>
    <hyperlink ref="A39:F39" location="'3'!A1" display="Cliquez ici pour continuer"/>
    <hyperlink ref="A40" location="'1 - INTRODUCTION'!A1" display="retour"/>
    <hyperlink ref="F40" location="'3'!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20.xml><?xml version="1.0" encoding="utf-8"?>
<worksheet xmlns="http://schemas.openxmlformats.org/spreadsheetml/2006/main" xmlns:r="http://schemas.openxmlformats.org/officeDocument/2006/relationships">
  <dimension ref="A1:M68"/>
  <sheetViews>
    <sheetView showGridLines="0" zoomScalePageLayoutView="0" workbookViewId="0" topLeftCell="A16">
      <selection activeCell="K29" sqref="K29"/>
    </sheetView>
  </sheetViews>
  <sheetFormatPr defaultColWidth="11.421875" defaultRowHeight="12.75"/>
  <cols>
    <col min="1" max="1" width="47.7109375" style="22" customWidth="1"/>
    <col min="2" max="2" width="7.7109375" style="206" customWidth="1"/>
    <col min="3" max="3" width="9.28125" style="22" customWidth="1"/>
    <col min="4" max="11" width="13.7109375" style="22" customWidth="1"/>
    <col min="12" max="16384" width="11.421875" style="22" customWidth="1"/>
  </cols>
  <sheetData>
    <row r="1" spans="1:11" ht="34.5" customHeight="1">
      <c r="A1" s="511" t="s">
        <v>610</v>
      </c>
      <c r="B1" s="439"/>
      <c r="C1" s="439"/>
      <c r="D1" s="439"/>
      <c r="E1" s="439"/>
      <c r="F1" s="439"/>
      <c r="G1" s="439"/>
      <c r="H1" s="439"/>
      <c r="I1" s="439"/>
      <c r="J1" s="439"/>
      <c r="K1" s="439"/>
    </row>
    <row r="2" ht="15" customHeight="1"/>
    <row r="3" ht="15" customHeight="1">
      <c r="A3" s="207"/>
    </row>
    <row r="4" ht="15" customHeight="1" thickBot="1"/>
    <row r="5" spans="1:11" ht="30" customHeight="1" thickBot="1">
      <c r="A5" s="571" t="s">
        <v>656</v>
      </c>
      <c r="B5" s="572" t="s">
        <v>135</v>
      </c>
      <c r="C5" s="160"/>
      <c r="D5" s="574" t="s">
        <v>511</v>
      </c>
      <c r="E5" s="599"/>
      <c r="F5" s="599"/>
      <c r="G5" s="599"/>
      <c r="H5" s="599"/>
      <c r="I5" s="599"/>
      <c r="J5" s="599"/>
      <c r="K5" s="600"/>
    </row>
    <row r="6" spans="1:11" ht="39.75" customHeight="1" thickBot="1">
      <c r="A6" s="173" t="s">
        <v>22</v>
      </c>
      <c r="B6" s="21">
        <v>4</v>
      </c>
      <c r="C6" s="174"/>
      <c r="D6" s="565" t="s">
        <v>654</v>
      </c>
      <c r="E6" s="569"/>
      <c r="F6" s="569"/>
      <c r="G6" s="569"/>
      <c r="H6" s="569"/>
      <c r="I6" s="569"/>
      <c r="J6" s="569"/>
      <c r="K6" s="570"/>
    </row>
    <row r="7" spans="1:11" ht="54" customHeight="1" thickBot="1">
      <c r="A7" s="164" t="s">
        <v>23</v>
      </c>
      <c r="B7" s="21">
        <v>1</v>
      </c>
      <c r="C7" s="162"/>
      <c r="D7" s="565" t="s">
        <v>171</v>
      </c>
      <c r="E7" s="569"/>
      <c r="F7" s="569"/>
      <c r="G7" s="569"/>
      <c r="H7" s="569"/>
      <c r="I7" s="569"/>
      <c r="J7" s="569"/>
      <c r="K7" s="570"/>
    </row>
    <row r="8" spans="1:11" ht="38.25" customHeight="1" thickBot="1">
      <c r="A8" s="173" t="s">
        <v>24</v>
      </c>
      <c r="B8" s="21">
        <v>3</v>
      </c>
      <c r="C8" s="162"/>
      <c r="D8" s="565" t="s">
        <v>488</v>
      </c>
      <c r="E8" s="569"/>
      <c r="F8" s="569"/>
      <c r="G8" s="569"/>
      <c r="H8" s="569"/>
      <c r="I8" s="569"/>
      <c r="J8" s="569"/>
      <c r="K8" s="570"/>
    </row>
    <row r="9" spans="1:11" ht="25.5" customHeight="1" thickBot="1">
      <c r="A9" s="173" t="s">
        <v>25</v>
      </c>
      <c r="B9" s="21">
        <v>4</v>
      </c>
      <c r="C9" s="162"/>
      <c r="D9" s="565" t="s">
        <v>489</v>
      </c>
      <c r="E9" s="569"/>
      <c r="F9" s="569"/>
      <c r="G9" s="569"/>
      <c r="H9" s="569"/>
      <c r="I9" s="569"/>
      <c r="J9" s="569"/>
      <c r="K9" s="570"/>
    </row>
    <row r="10" spans="1:11" ht="30" customHeight="1" thickBot="1">
      <c r="A10" s="208" t="s">
        <v>26</v>
      </c>
      <c r="B10" s="21">
        <v>4</v>
      </c>
      <c r="C10" s="162"/>
      <c r="D10" s="565" t="s">
        <v>490</v>
      </c>
      <c r="E10" s="569"/>
      <c r="F10" s="569"/>
      <c r="G10" s="569"/>
      <c r="H10" s="569"/>
      <c r="I10" s="569"/>
      <c r="J10" s="569"/>
      <c r="K10" s="570"/>
    </row>
    <row r="11" spans="1:11" ht="19.5" thickBot="1">
      <c r="A11" s="164" t="s">
        <v>27</v>
      </c>
      <c r="B11" s="21">
        <v>4</v>
      </c>
      <c r="C11" s="162"/>
      <c r="D11" s="568" t="s">
        <v>655</v>
      </c>
      <c r="E11" s="569"/>
      <c r="F11" s="569"/>
      <c r="G11" s="569"/>
      <c r="H11" s="569"/>
      <c r="I11" s="569"/>
      <c r="J11" s="569"/>
      <c r="K11" s="570"/>
    </row>
    <row r="12" spans="1:11" ht="57" customHeight="1" thickBot="1">
      <c r="A12" s="209" t="s">
        <v>492</v>
      </c>
      <c r="B12" s="21">
        <v>2</v>
      </c>
      <c r="C12" s="162"/>
      <c r="D12" s="565" t="s">
        <v>491</v>
      </c>
      <c r="E12" s="569"/>
      <c r="F12" s="569"/>
      <c r="G12" s="569"/>
      <c r="H12" s="569"/>
      <c r="I12" s="569"/>
      <c r="J12" s="569"/>
      <c r="K12" s="570"/>
    </row>
    <row r="13" spans="1:11" ht="63.75" customHeight="1" thickBot="1">
      <c r="A13" s="208" t="s">
        <v>493</v>
      </c>
      <c r="B13" s="21">
        <v>3</v>
      </c>
      <c r="C13" s="162"/>
      <c r="D13" s="573" t="s">
        <v>494</v>
      </c>
      <c r="E13" s="569"/>
      <c r="F13" s="569"/>
      <c r="G13" s="569"/>
      <c r="H13" s="569"/>
      <c r="I13" s="569"/>
      <c r="J13" s="569"/>
      <c r="K13" s="570"/>
    </row>
    <row r="14" spans="1:11" ht="30" customHeight="1" thickBot="1">
      <c r="A14" s="210" t="s">
        <v>28</v>
      </c>
      <c r="B14" s="211">
        <f>'19'!M18</f>
        <v>1</v>
      </c>
      <c r="C14" s="162"/>
      <c r="D14" s="596" t="s">
        <v>513</v>
      </c>
      <c r="E14" s="597"/>
      <c r="F14" s="597"/>
      <c r="G14" s="597"/>
      <c r="H14" s="597"/>
      <c r="I14" s="597"/>
      <c r="J14" s="597"/>
      <c r="K14" s="598"/>
    </row>
    <row r="15" spans="1:11" ht="84.75" customHeight="1" thickBot="1">
      <c r="A15" s="164" t="s">
        <v>495</v>
      </c>
      <c r="B15" s="21">
        <v>2</v>
      </c>
      <c r="C15" s="162"/>
      <c r="D15" s="568" t="s">
        <v>496</v>
      </c>
      <c r="E15" s="605"/>
      <c r="F15" s="605"/>
      <c r="G15" s="605"/>
      <c r="H15" s="605"/>
      <c r="I15" s="605"/>
      <c r="J15" s="605"/>
      <c r="K15" s="606"/>
    </row>
    <row r="16" spans="1:11" ht="42.75" customHeight="1" thickBot="1">
      <c r="A16" s="173" t="s">
        <v>29</v>
      </c>
      <c r="B16" s="21">
        <v>4</v>
      </c>
      <c r="C16" s="162"/>
      <c r="D16" s="568" t="s">
        <v>43</v>
      </c>
      <c r="E16" s="605"/>
      <c r="F16" s="605"/>
      <c r="G16" s="605"/>
      <c r="H16" s="605"/>
      <c r="I16" s="605"/>
      <c r="J16" s="605"/>
      <c r="K16" s="606"/>
    </row>
    <row r="17" spans="1:13" ht="15" customHeight="1" thickBot="1">
      <c r="A17" s="212"/>
      <c r="B17" s="213"/>
      <c r="C17" s="162"/>
      <c r="D17" s="214"/>
      <c r="E17" s="214"/>
      <c r="F17" s="214"/>
      <c r="G17" s="214"/>
      <c r="H17" s="214"/>
      <c r="I17" s="214"/>
      <c r="J17" s="214"/>
      <c r="K17" s="214"/>
      <c r="L17" s="214"/>
      <c r="M17" s="214"/>
    </row>
    <row r="18" spans="1:11" ht="30" customHeight="1" thickBot="1">
      <c r="A18" s="571" t="s">
        <v>497</v>
      </c>
      <c r="B18" s="572"/>
      <c r="C18" s="162"/>
      <c r="D18" s="574" t="s">
        <v>511</v>
      </c>
      <c r="E18" s="599"/>
      <c r="F18" s="599"/>
      <c r="G18" s="599"/>
      <c r="H18" s="599"/>
      <c r="I18" s="599"/>
      <c r="J18" s="599"/>
      <c r="K18" s="600"/>
    </row>
    <row r="19" spans="1:11" ht="43.5" customHeight="1" thickBot="1">
      <c r="A19" s="215" t="s">
        <v>30</v>
      </c>
      <c r="B19" s="21">
        <v>1</v>
      </c>
      <c r="C19" s="162"/>
      <c r="D19" s="568" t="s">
        <v>147</v>
      </c>
      <c r="E19" s="605"/>
      <c r="F19" s="605"/>
      <c r="G19" s="605"/>
      <c r="H19" s="605"/>
      <c r="I19" s="605"/>
      <c r="J19" s="605"/>
      <c r="K19" s="606"/>
    </row>
    <row r="20" spans="1:11" ht="31.5" customHeight="1" thickBot="1">
      <c r="A20" s="163" t="s">
        <v>498</v>
      </c>
      <c r="B20" s="21">
        <v>1</v>
      </c>
      <c r="C20" s="162"/>
      <c r="D20" s="568" t="s">
        <v>148</v>
      </c>
      <c r="E20" s="605"/>
      <c r="F20" s="605"/>
      <c r="G20" s="605"/>
      <c r="H20" s="605"/>
      <c r="I20" s="605"/>
      <c r="J20" s="605"/>
      <c r="K20" s="606"/>
    </row>
    <row r="21" spans="1:11" ht="32.25" customHeight="1" thickBot="1">
      <c r="A21" s="163" t="s">
        <v>31</v>
      </c>
      <c r="B21" s="21">
        <v>1</v>
      </c>
      <c r="C21" s="162"/>
      <c r="D21" s="568" t="s">
        <v>581</v>
      </c>
      <c r="E21" s="605"/>
      <c r="F21" s="605"/>
      <c r="G21" s="605"/>
      <c r="H21" s="605"/>
      <c r="I21" s="605"/>
      <c r="J21" s="605"/>
      <c r="K21" s="606"/>
    </row>
    <row r="22" spans="1:11" ht="18.75" customHeight="1">
      <c r="A22" s="413"/>
      <c r="B22" s="415"/>
      <c r="C22" s="162"/>
      <c r="D22" s="414"/>
      <c r="E22" s="414"/>
      <c r="F22" s="414"/>
      <c r="G22" s="414"/>
      <c r="H22" s="414"/>
      <c r="I22" s="414"/>
      <c r="J22" s="414"/>
      <c r="K22" s="414"/>
    </row>
    <row r="23" spans="1:11" ht="27.75" customHeight="1" thickBot="1">
      <c r="A23" s="571" t="s">
        <v>650</v>
      </c>
      <c r="B23" s="572"/>
      <c r="C23" s="162"/>
      <c r="D23" s="414"/>
      <c r="E23" s="414"/>
      <c r="F23" s="414"/>
      <c r="G23" s="414"/>
      <c r="H23" s="414"/>
      <c r="I23" s="414"/>
      <c r="J23" s="414"/>
      <c r="K23" s="414"/>
    </row>
    <row r="24" spans="1:11" ht="94.5" customHeight="1" thickBot="1">
      <c r="A24" s="163" t="s">
        <v>651</v>
      </c>
      <c r="B24" s="21">
        <v>4</v>
      </c>
      <c r="C24" s="162"/>
      <c r="D24" s="601" t="s">
        <v>657</v>
      </c>
      <c r="E24" s="602"/>
      <c r="F24" s="602"/>
      <c r="G24" s="602"/>
      <c r="H24" s="602"/>
      <c r="I24" s="602"/>
      <c r="J24" s="602"/>
      <c r="K24" s="603"/>
    </row>
    <row r="25" spans="1:11" ht="57.75" customHeight="1" thickBot="1">
      <c r="A25" s="163" t="s">
        <v>652</v>
      </c>
      <c r="B25" s="21">
        <v>4</v>
      </c>
      <c r="C25" s="162"/>
      <c r="D25" s="601" t="s">
        <v>658</v>
      </c>
      <c r="E25" s="602"/>
      <c r="F25" s="602"/>
      <c r="G25" s="602"/>
      <c r="H25" s="602"/>
      <c r="I25" s="602"/>
      <c r="J25" s="602"/>
      <c r="K25" s="603"/>
    </row>
    <row r="26" spans="1:11" ht="43.5" customHeight="1" thickBot="1">
      <c r="A26" s="163" t="s">
        <v>653</v>
      </c>
      <c r="B26" s="21">
        <v>1</v>
      </c>
      <c r="C26" s="162"/>
      <c r="D26" s="601" t="s">
        <v>659</v>
      </c>
      <c r="E26" s="602"/>
      <c r="F26" s="602"/>
      <c r="G26" s="602"/>
      <c r="H26" s="602"/>
      <c r="I26" s="602"/>
      <c r="J26" s="602"/>
      <c r="K26" s="603"/>
    </row>
    <row r="27" spans="1:11" ht="18.75" customHeight="1">
      <c r="A27" s="413"/>
      <c r="B27" s="415"/>
      <c r="C27" s="416"/>
      <c r="D27" s="414"/>
      <c r="E27" s="414"/>
      <c r="F27" s="414"/>
      <c r="G27" s="414"/>
      <c r="H27" s="414"/>
      <c r="I27" s="414"/>
      <c r="J27" s="414"/>
      <c r="K27" s="414"/>
    </row>
    <row r="28" spans="1:11" ht="19.5" customHeight="1">
      <c r="A28" s="438" t="s">
        <v>353</v>
      </c>
      <c r="B28" s="438"/>
      <c r="C28" s="438"/>
      <c r="D28" s="438"/>
      <c r="E28" s="438"/>
      <c r="F28" s="438"/>
      <c r="G28" s="438"/>
      <c r="H28" s="438"/>
      <c r="I28" s="438"/>
      <c r="J28" s="438"/>
      <c r="K28" s="438"/>
    </row>
    <row r="29" spans="1:11" ht="12">
      <c r="A29" s="39" t="s">
        <v>153</v>
      </c>
      <c r="B29" s="22"/>
      <c r="K29" s="58" t="s">
        <v>154</v>
      </c>
    </row>
    <row r="30" spans="1:7" ht="15">
      <c r="A30" s="22" t="s">
        <v>396</v>
      </c>
      <c r="B30" s="216"/>
      <c r="C30" s="172"/>
      <c r="D30" s="172"/>
      <c r="E30" s="172"/>
      <c r="F30" s="172"/>
      <c r="G30" s="172"/>
    </row>
    <row r="31" spans="1:11" ht="15" customHeight="1">
      <c r="A31" s="604" t="s">
        <v>450</v>
      </c>
      <c r="B31" s="604"/>
      <c r="C31" s="604"/>
      <c r="D31" s="604"/>
      <c r="E31" s="604"/>
      <c r="F31" s="604"/>
      <c r="G31" s="604"/>
      <c r="H31" s="604"/>
      <c r="I31" s="604"/>
      <c r="J31" s="604"/>
      <c r="K31" s="604"/>
    </row>
    <row r="32" spans="1:8" ht="15">
      <c r="A32" s="217"/>
      <c r="B32" s="216"/>
      <c r="C32" s="172"/>
      <c r="D32" s="172"/>
      <c r="E32" s="172"/>
      <c r="F32" s="172"/>
      <c r="G32" s="172"/>
      <c r="H32" s="172"/>
    </row>
    <row r="68" ht="102">
      <c r="A68" s="409" t="s">
        <v>647</v>
      </c>
    </row>
  </sheetData>
  <sheetProtection password="DF64" sheet="1" objects="1" scenarios="1"/>
  <mergeCells count="25">
    <mergeCell ref="A31:K31"/>
    <mergeCell ref="D19:K19"/>
    <mergeCell ref="D20:K20"/>
    <mergeCell ref="D21:K21"/>
    <mergeCell ref="D15:K15"/>
    <mergeCell ref="D16:K16"/>
    <mergeCell ref="D18:K18"/>
    <mergeCell ref="A23:B23"/>
    <mergeCell ref="D24:K24"/>
    <mergeCell ref="D25:K25"/>
    <mergeCell ref="A1:K1"/>
    <mergeCell ref="A28:K28"/>
    <mergeCell ref="D9:K9"/>
    <mergeCell ref="D10:K10"/>
    <mergeCell ref="D11:K11"/>
    <mergeCell ref="D12:K12"/>
    <mergeCell ref="A5:B5"/>
    <mergeCell ref="A18:B18"/>
    <mergeCell ref="D6:K6"/>
    <mergeCell ref="D7:K7"/>
    <mergeCell ref="D8:K8"/>
    <mergeCell ref="D14:K14"/>
    <mergeCell ref="D13:K13"/>
    <mergeCell ref="D5:K5"/>
    <mergeCell ref="D26:K26"/>
  </mergeCells>
  <dataValidations count="1">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B6:B13 B15:B16 B19:B22 B24:B27">
      <formula1>"1,2,3,4"</formula1>
    </dataValidation>
  </dataValidations>
  <hyperlinks>
    <hyperlink ref="A28" r:id="rId1" display="Cliquez ici pour commencer"/>
    <hyperlink ref="A28:E28" r:id="rId2" display="Cliquez ici pour poursuivre"/>
    <hyperlink ref="A28:G28" r:id="rId3" display="Cliquez ici pour poursuivre"/>
    <hyperlink ref="A28:K28" location="'21'!A1" display="Cliquez ici pour poursuivre"/>
    <hyperlink ref="A29" location="'19'!A1" display="retour"/>
    <hyperlink ref="K29" location="'21'!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21.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E9" sqref="E9"/>
    </sheetView>
  </sheetViews>
  <sheetFormatPr defaultColWidth="11.421875" defaultRowHeight="12.75"/>
  <cols>
    <col min="1" max="3" width="25.7109375" style="22" customWidth="1"/>
    <col min="4" max="4" width="12.7109375" style="40" customWidth="1"/>
    <col min="5" max="5" width="25.7109375" style="22" customWidth="1"/>
    <col min="6" max="16384" width="11.421875" style="22" customWidth="1"/>
  </cols>
  <sheetData>
    <row r="1" spans="1:5" ht="34.5" customHeight="1">
      <c r="A1" s="549" t="s">
        <v>608</v>
      </c>
      <c r="B1" s="550"/>
      <c r="C1" s="550"/>
      <c r="D1" s="550"/>
      <c r="E1" s="550"/>
    </row>
    <row r="2" ht="15" customHeight="1"/>
    <row r="3" spans="1:5" ht="15" customHeight="1">
      <c r="A3" s="218"/>
      <c r="B3" s="219"/>
      <c r="C3" s="219"/>
      <c r="D3" s="220"/>
      <c r="E3" s="221"/>
    </row>
    <row r="4" spans="1:5" s="224" customFormat="1" ht="19.5" customHeight="1">
      <c r="A4" s="607" t="s">
        <v>499</v>
      </c>
      <c r="B4" s="607"/>
      <c r="C4" s="607"/>
      <c r="D4" s="222">
        <f>+(SUM('20'!B7,'20'!B11:B12,'20'!B14:B15,'20'!B20:B21,'20'!B24,'20'!B25,'21'!B26))*2+(SUM('20'!B6,'20'!B8:B10,'20'!B13,'20'!B16,'20'!B19))</f>
        <v>63</v>
      </c>
      <c r="E4" s="223" t="str">
        <f>CONCATENATE("sur ",D5," points")</f>
        <v>sur 100 points</v>
      </c>
    </row>
    <row r="5" spans="1:5" ht="15" customHeight="1" hidden="1">
      <c r="A5" s="608" t="s">
        <v>347</v>
      </c>
      <c r="B5" s="608"/>
      <c r="C5" s="608"/>
      <c r="D5" s="225">
        <f>+(COUNTA('20'!B7,'20'!B11:B12,'20'!B14:B15,'20'!B20:B21,'20'!B24,'20'!B25,'21'!B26)*4*2)+(COUNTA('20'!B6,'20'!B8:B10,'20'!B13,'20'!B16,'20'!B19)*4)</f>
        <v>100</v>
      </c>
      <c r="E5" s="226" t="s">
        <v>578</v>
      </c>
    </row>
    <row r="6" spans="1:5" s="224" customFormat="1" ht="19.5" customHeight="1">
      <c r="A6" s="607" t="s">
        <v>346</v>
      </c>
      <c r="B6" s="607"/>
      <c r="C6" s="607"/>
      <c r="D6" s="227">
        <f>D4/D5</f>
        <v>0.63</v>
      </c>
      <c r="E6" s="223" t="s">
        <v>500</v>
      </c>
    </row>
    <row r="7" ht="15" customHeight="1"/>
    <row r="8" spans="1:5" ht="19.5" customHeight="1">
      <c r="A8" s="438" t="s">
        <v>328</v>
      </c>
      <c r="B8" s="438"/>
      <c r="C8" s="438"/>
      <c r="D8" s="438"/>
      <c r="E8" s="438"/>
    </row>
    <row r="9" spans="1:5" ht="15" customHeight="1">
      <c r="A9" s="39" t="s">
        <v>153</v>
      </c>
      <c r="D9" s="22"/>
      <c r="E9" s="58" t="s">
        <v>154</v>
      </c>
    </row>
    <row r="10" spans="1:5" ht="15" customHeight="1">
      <c r="A10" s="22" t="s">
        <v>379</v>
      </c>
      <c r="B10" s="228"/>
      <c r="C10" s="228"/>
      <c r="D10" s="228"/>
      <c r="E10" s="228"/>
    </row>
    <row r="11" spans="1:5" ht="12">
      <c r="A11" s="451" t="s">
        <v>451</v>
      </c>
      <c r="B11" s="451"/>
      <c r="C11" s="451"/>
      <c r="D11" s="451"/>
      <c r="E11" s="451"/>
    </row>
    <row r="63" ht="138.75">
      <c r="A63" s="409" t="s">
        <v>647</v>
      </c>
    </row>
  </sheetData>
  <sheetProtection password="DF64" sheet="1" objects="1" scenarios="1"/>
  <mergeCells count="6">
    <mergeCell ref="A11:E11"/>
    <mergeCell ref="A6:C6"/>
    <mergeCell ref="A1:E1"/>
    <mergeCell ref="A8:E8"/>
    <mergeCell ref="A4:C4"/>
    <mergeCell ref="A5:C5"/>
  </mergeCells>
  <hyperlinks>
    <hyperlink ref="A8" r:id="rId1" display="Cliquez ici pour commencer"/>
    <hyperlink ref="A8:E8" location="'22'!A1" display="Cliquez ici pour continuer"/>
    <hyperlink ref="A9" location="'20'!A1" display="retour"/>
    <hyperlink ref="E9" location="'22'!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22.xml><?xml version="1.0" encoding="utf-8"?>
<worksheet xmlns="http://schemas.openxmlformats.org/spreadsheetml/2006/main" xmlns:r="http://schemas.openxmlformats.org/officeDocument/2006/relationships">
  <dimension ref="A1:K63"/>
  <sheetViews>
    <sheetView showGridLines="0" zoomScalePageLayoutView="0" workbookViewId="0" topLeftCell="A1">
      <selection activeCell="K13" sqref="K13"/>
    </sheetView>
  </sheetViews>
  <sheetFormatPr defaultColWidth="11.421875" defaultRowHeight="12.75"/>
  <cols>
    <col min="1" max="1" width="47.7109375" style="22" customWidth="1"/>
    <col min="2" max="2" width="7.7109375" style="40" customWidth="1"/>
    <col min="3" max="3" width="10.140625" style="22" customWidth="1"/>
    <col min="4" max="16384" width="11.421875" style="22" customWidth="1"/>
  </cols>
  <sheetData>
    <row r="1" spans="1:11" ht="34.5" customHeight="1">
      <c r="A1" s="609" t="s">
        <v>611</v>
      </c>
      <c r="B1" s="610"/>
      <c r="C1" s="610"/>
      <c r="D1" s="610"/>
      <c r="E1" s="610"/>
      <c r="F1" s="610"/>
      <c r="G1" s="610"/>
      <c r="H1" s="610"/>
      <c r="I1" s="610"/>
      <c r="J1" s="610"/>
      <c r="K1" s="610"/>
    </row>
    <row r="2" ht="15" customHeight="1"/>
    <row r="3" ht="15" customHeight="1">
      <c r="A3" s="155"/>
    </row>
    <row r="4" ht="15" customHeight="1" thickBot="1"/>
    <row r="5" spans="1:11" ht="30" customHeight="1" thickBot="1">
      <c r="A5" s="571" t="s">
        <v>249</v>
      </c>
      <c r="B5" s="572"/>
      <c r="D5" s="574" t="s">
        <v>511</v>
      </c>
      <c r="E5" s="599"/>
      <c r="F5" s="599"/>
      <c r="G5" s="599"/>
      <c r="H5" s="599"/>
      <c r="I5" s="599"/>
      <c r="J5" s="599"/>
      <c r="K5" s="600"/>
    </row>
    <row r="6" spans="1:11" ht="56.25" customHeight="1" thickBot="1" thickTop="1">
      <c r="A6" s="215" t="s">
        <v>250</v>
      </c>
      <c r="B6" s="403">
        <v>1</v>
      </c>
      <c r="C6" s="404" t="str">
        <f>CONCATENATE("votre ratio est =",ROUND(IF(3!F10=0,((3!B10*2)+(3!D10))/3,(((3!B10*3)+(3!D10*2)+(3!F10))/6))/9!D8,4)*100,"%")</f>
        <v>votre ratio est =16,65%</v>
      </c>
      <c r="D6" s="611" t="s">
        <v>431</v>
      </c>
      <c r="E6" s="612"/>
      <c r="F6" s="612"/>
      <c r="G6" s="612"/>
      <c r="H6" s="612"/>
      <c r="I6" s="612"/>
      <c r="J6" s="612"/>
      <c r="K6" s="613"/>
    </row>
    <row r="7" spans="1:11" ht="66" customHeight="1" thickBot="1" thickTop="1">
      <c r="A7" s="215" t="s">
        <v>251</v>
      </c>
      <c r="B7" s="21">
        <v>4</v>
      </c>
      <c r="D7" s="614" t="s">
        <v>464</v>
      </c>
      <c r="E7" s="615"/>
      <c r="F7" s="615"/>
      <c r="G7" s="615"/>
      <c r="H7" s="615"/>
      <c r="I7" s="615"/>
      <c r="J7" s="615"/>
      <c r="K7" s="616"/>
    </row>
    <row r="8" spans="1:11" ht="66.75" customHeight="1" thickBot="1">
      <c r="A8" s="163" t="s">
        <v>252</v>
      </c>
      <c r="B8" s="21">
        <v>1</v>
      </c>
      <c r="D8" s="565" t="s">
        <v>469</v>
      </c>
      <c r="E8" s="569"/>
      <c r="F8" s="569"/>
      <c r="G8" s="569"/>
      <c r="H8" s="569"/>
      <c r="I8" s="569"/>
      <c r="J8" s="569"/>
      <c r="K8" s="570"/>
    </row>
    <row r="9" spans="1:11" ht="57" customHeight="1" thickBot="1">
      <c r="A9" s="163" t="s">
        <v>253</v>
      </c>
      <c r="B9" s="21">
        <v>1</v>
      </c>
      <c r="D9" s="565" t="s">
        <v>471</v>
      </c>
      <c r="E9" s="569"/>
      <c r="F9" s="569"/>
      <c r="G9" s="569"/>
      <c r="H9" s="569"/>
      <c r="I9" s="569"/>
      <c r="J9" s="569"/>
      <c r="K9" s="570"/>
    </row>
    <row r="10" spans="1:11" ht="54.75" customHeight="1" thickBot="1">
      <c r="A10" s="163" t="s">
        <v>254</v>
      </c>
      <c r="B10" s="21">
        <v>1</v>
      </c>
      <c r="D10" s="565" t="s">
        <v>472</v>
      </c>
      <c r="E10" s="569"/>
      <c r="F10" s="569"/>
      <c r="G10" s="569"/>
      <c r="H10" s="569"/>
      <c r="I10" s="569"/>
      <c r="J10" s="569"/>
      <c r="K10" s="570"/>
    </row>
    <row r="11" spans="1:8" ht="13.5">
      <c r="A11" s="177"/>
      <c r="B11" s="229"/>
      <c r="D11" s="172"/>
      <c r="E11" s="172"/>
      <c r="F11" s="172"/>
      <c r="G11" s="172"/>
      <c r="H11" s="172"/>
    </row>
    <row r="12" spans="1:11" ht="19.5" customHeight="1">
      <c r="A12" s="438" t="s">
        <v>328</v>
      </c>
      <c r="B12" s="438"/>
      <c r="C12" s="438"/>
      <c r="D12" s="438"/>
      <c r="E12" s="438"/>
      <c r="F12" s="438"/>
      <c r="G12" s="438"/>
      <c r="H12" s="438"/>
      <c r="I12" s="438"/>
      <c r="J12" s="438"/>
      <c r="K12" s="438"/>
    </row>
    <row r="13" spans="1:11" ht="13.5">
      <c r="A13" s="39" t="s">
        <v>153</v>
      </c>
      <c r="B13" s="22"/>
      <c r="H13" s="172"/>
      <c r="K13" s="58" t="s">
        <v>154</v>
      </c>
    </row>
    <row r="14" ht="12">
      <c r="A14" s="22" t="s">
        <v>396</v>
      </c>
    </row>
    <row r="15" spans="1:11" ht="12">
      <c r="A15" s="451" t="s">
        <v>452</v>
      </c>
      <c r="B15" s="451"/>
      <c r="C15" s="451"/>
      <c r="D15" s="451"/>
      <c r="E15" s="451"/>
      <c r="F15" s="451"/>
      <c r="G15" s="451"/>
      <c r="H15" s="451"/>
      <c r="I15" s="451"/>
      <c r="J15" s="451"/>
      <c r="K15" s="451"/>
    </row>
    <row r="20" ht="19.5" customHeight="1"/>
    <row r="21" ht="18" customHeight="1"/>
    <row r="63" ht="101.25">
      <c r="A63" s="409" t="s">
        <v>647</v>
      </c>
    </row>
  </sheetData>
  <sheetProtection password="DF64" sheet="1"/>
  <mergeCells count="10">
    <mergeCell ref="A15:K15"/>
    <mergeCell ref="D10:K10"/>
    <mergeCell ref="A12:K12"/>
    <mergeCell ref="A1:K1"/>
    <mergeCell ref="D5:K5"/>
    <mergeCell ref="D6:K6"/>
    <mergeCell ref="D7:K7"/>
    <mergeCell ref="A5:B5"/>
    <mergeCell ref="D8:K8"/>
    <mergeCell ref="D9:K9"/>
  </mergeCells>
  <dataValidations count="1">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B6:B10">
      <formula1>"1,2,3,4"</formula1>
    </dataValidation>
  </dataValidations>
  <hyperlinks>
    <hyperlink ref="A12" r:id="rId1" display="Cliquez ici pour commencer"/>
    <hyperlink ref="A12:E12" r:id="rId2" display="Cliquez ici pour poursuivre l'estimation et évaluer la stratégie marketing"/>
    <hyperlink ref="A12:K12" location="'23'!A1" display="Cliquez ici pour continuer"/>
    <hyperlink ref="A13" location="'21'!A1" display="retour"/>
    <hyperlink ref="K13" location="'23'!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3.xml><?xml version="1.0" encoding="utf-8"?>
<worksheet xmlns="http://schemas.openxmlformats.org/spreadsheetml/2006/main" xmlns:r="http://schemas.openxmlformats.org/officeDocument/2006/relationships">
  <dimension ref="A1:IV63"/>
  <sheetViews>
    <sheetView showGridLines="0" zoomScalePageLayoutView="0" workbookViewId="0" topLeftCell="A1">
      <selection activeCell="E50" sqref="E50"/>
    </sheetView>
  </sheetViews>
  <sheetFormatPr defaultColWidth="11.421875" defaultRowHeight="12.75"/>
  <cols>
    <col min="1" max="4" width="30.7109375" style="22" customWidth="1"/>
    <col min="5" max="5" width="15.7109375" style="22" customWidth="1"/>
    <col min="6" max="6" width="7.140625" style="22" customWidth="1"/>
    <col min="7" max="7" width="4.140625" style="22" bestFit="1" customWidth="1"/>
    <col min="8" max="8" width="5.140625" style="22" customWidth="1"/>
    <col min="9" max="16384" width="11.421875" style="22" customWidth="1"/>
  </cols>
  <sheetData>
    <row r="1" spans="1:5" ht="34.5" customHeight="1">
      <c r="A1" s="609" t="s">
        <v>612</v>
      </c>
      <c r="B1" s="610"/>
      <c r="C1" s="610"/>
      <c r="D1" s="610"/>
      <c r="E1" s="610"/>
    </row>
    <row r="2" ht="15" customHeight="1"/>
    <row r="3" ht="15" customHeight="1" thickBot="1"/>
    <row r="4" spans="1:5" ht="39.75" customHeight="1">
      <c r="A4" s="494" t="s">
        <v>407</v>
      </c>
      <c r="B4" s="495"/>
      <c r="C4" s="495"/>
      <c r="D4" s="495"/>
      <c r="E4" s="496"/>
    </row>
    <row r="5" spans="1:5" ht="15" customHeight="1" thickBot="1">
      <c r="A5" s="617" t="s">
        <v>408</v>
      </c>
      <c r="B5" s="618"/>
      <c r="C5" s="618"/>
      <c r="D5" s="618"/>
      <c r="E5" s="619"/>
    </row>
    <row r="6" spans="1:4" ht="15" customHeight="1">
      <c r="A6" s="230"/>
      <c r="B6" s="230"/>
      <c r="C6" s="230"/>
      <c r="D6" s="230"/>
    </row>
    <row r="7" spans="1:4" ht="15" customHeight="1">
      <c r="A7" s="230"/>
      <c r="B7" s="230"/>
      <c r="C7" s="230"/>
      <c r="D7" s="230"/>
    </row>
    <row r="8" spans="1:4" ht="15" customHeight="1">
      <c r="A8" s="529" t="s">
        <v>246</v>
      </c>
      <c r="B8" s="529"/>
      <c r="C8" s="529"/>
      <c r="D8" s="119">
        <f>8!D8</f>
        <v>3</v>
      </c>
    </row>
    <row r="9" spans="1:4" ht="15" customHeight="1">
      <c r="A9" s="529" t="s">
        <v>406</v>
      </c>
      <c r="B9" s="529"/>
      <c r="C9" s="529"/>
      <c r="D9" s="231">
        <f>'19'!P6</f>
        <v>0.635</v>
      </c>
    </row>
    <row r="10" spans="1:4" ht="76.5" customHeight="1">
      <c r="A10" s="620" t="s">
        <v>468</v>
      </c>
      <c r="B10" s="585"/>
      <c r="C10" s="586"/>
      <c r="D10" s="21">
        <v>6</v>
      </c>
    </row>
    <row r="11" spans="1:4" ht="15" customHeight="1">
      <c r="A11" s="232"/>
      <c r="B11" s="232"/>
      <c r="C11" s="232"/>
      <c r="D11" s="233"/>
    </row>
    <row r="12" spans="1:4" ht="15" customHeight="1">
      <c r="A12" s="232"/>
      <c r="B12" s="232"/>
      <c r="C12" s="232"/>
      <c r="D12" s="233"/>
    </row>
    <row r="13" spans="1:5" ht="39.75" customHeight="1">
      <c r="A13" s="621" t="s">
        <v>381</v>
      </c>
      <c r="B13" s="621"/>
      <c r="C13" s="621"/>
      <c r="D13" s="150">
        <f>IF(B17="VRAI",F17,F31)</f>
        <v>2</v>
      </c>
      <c r="E13" s="205" t="s">
        <v>292</v>
      </c>
    </row>
    <row r="14" spans="1:4" ht="15" customHeight="1">
      <c r="A14" s="234"/>
      <c r="B14" s="234"/>
      <c r="C14" s="234"/>
      <c r="D14" s="235"/>
    </row>
    <row r="15" spans="1:5" ht="15" customHeight="1" hidden="1">
      <c r="A15" s="230"/>
      <c r="B15" s="230"/>
      <c r="C15" s="230"/>
      <c r="D15" s="230"/>
      <c r="E15" s="40"/>
    </row>
    <row r="16" spans="1:6" ht="15" customHeight="1" hidden="1">
      <c r="A16" s="88"/>
      <c r="B16" s="88"/>
      <c r="C16" s="88" t="s">
        <v>412</v>
      </c>
      <c r="D16" s="88"/>
      <c r="E16" s="88" t="s">
        <v>413</v>
      </c>
      <c r="F16" s="88"/>
    </row>
    <row r="17" spans="1:6" ht="15" customHeight="1" hidden="1">
      <c r="A17" s="236" t="s">
        <v>410</v>
      </c>
      <c r="B17" s="237" t="str">
        <f>IF(D8&lt;3,"VRAI","FAUX")</f>
        <v>FAUX</v>
      </c>
      <c r="C17" s="238" t="s">
        <v>409</v>
      </c>
      <c r="D17" s="239"/>
      <c r="E17" s="238" t="s">
        <v>411</v>
      </c>
      <c r="F17" s="122">
        <f>IF(D10=1,F19,IF(D10=2,F21,IF(D10=3,F23,IF(D10=4,F25,IF(D10=5,F27,F29)))))</f>
        <v>4</v>
      </c>
    </row>
    <row r="18" spans="1:5" ht="12" hidden="1">
      <c r="A18" s="240" t="s">
        <v>261</v>
      </c>
      <c r="B18" s="241" t="s">
        <v>255</v>
      </c>
      <c r="C18" s="242">
        <f>59%</f>
        <v>0.59</v>
      </c>
      <c r="D18" s="241" t="s">
        <v>271</v>
      </c>
      <c r="E18" s="243">
        <v>0.53</v>
      </c>
    </row>
    <row r="19" spans="1:8" ht="12.75" hidden="1">
      <c r="A19" s="244" t="s">
        <v>256</v>
      </c>
      <c r="B19" s="245">
        <v>4</v>
      </c>
      <c r="C19" s="245">
        <v>3</v>
      </c>
      <c r="D19" s="245">
        <v>2</v>
      </c>
      <c r="E19" s="246">
        <v>1</v>
      </c>
      <c r="F19" s="247">
        <f>IF($D$9&gt;C18,4,IF($D$9=C18,3,IF(AND($D$9&gt;E18,$D$9&lt;=C18),2,IF($D$9&lt;E18,1,"???"))))</f>
        <v>4</v>
      </c>
      <c r="G19" s="22" t="s">
        <v>417</v>
      </c>
      <c r="H19" s="248">
        <v>1</v>
      </c>
    </row>
    <row r="20" spans="1:5" ht="12" hidden="1">
      <c r="A20" s="249" t="s">
        <v>262</v>
      </c>
      <c r="B20" s="250" t="s">
        <v>257</v>
      </c>
      <c r="C20" s="251">
        <v>0.57</v>
      </c>
      <c r="D20" s="250" t="s">
        <v>268</v>
      </c>
      <c r="E20" s="252">
        <v>0.51</v>
      </c>
    </row>
    <row r="21" spans="1:8" ht="12.75" hidden="1">
      <c r="A21" s="253" t="s">
        <v>256</v>
      </c>
      <c r="B21" s="254">
        <v>4</v>
      </c>
      <c r="C21" s="254">
        <v>3</v>
      </c>
      <c r="D21" s="254">
        <v>2</v>
      </c>
      <c r="E21" s="255">
        <v>1</v>
      </c>
      <c r="F21" s="247">
        <f>IF($D$9&gt;C20,4,IF($D$9=C20,3,IF(AND($D$9&gt;E20,$D$9&lt;=C20),2,IF($D$9&lt;E20,1,"???"))))</f>
        <v>4</v>
      </c>
      <c r="G21" s="22" t="s">
        <v>418</v>
      </c>
      <c r="H21" s="254">
        <v>2</v>
      </c>
    </row>
    <row r="22" spans="1:5" ht="12" hidden="1">
      <c r="A22" s="256" t="s">
        <v>263</v>
      </c>
      <c r="B22" s="257" t="s">
        <v>258</v>
      </c>
      <c r="C22" s="258">
        <v>0.53</v>
      </c>
      <c r="D22" s="257" t="s">
        <v>270</v>
      </c>
      <c r="E22" s="259">
        <v>0.47</v>
      </c>
    </row>
    <row r="23" spans="1:8" ht="12.75" hidden="1">
      <c r="A23" s="260" t="s">
        <v>256</v>
      </c>
      <c r="B23" s="261">
        <v>4</v>
      </c>
      <c r="C23" s="261">
        <v>3</v>
      </c>
      <c r="D23" s="261">
        <v>2</v>
      </c>
      <c r="E23" s="262">
        <v>1</v>
      </c>
      <c r="F23" s="247">
        <f>IF($D$9&gt;C22,4,IF($D$9=C22,3,IF(AND($D$9&gt;E22,$D$9&lt;=C22),2,IF($D$9&lt;E22,1,"???"))))</f>
        <v>4</v>
      </c>
      <c r="G23" s="22" t="s">
        <v>419</v>
      </c>
      <c r="H23" s="263">
        <v>3</v>
      </c>
    </row>
    <row r="24" spans="1:5" ht="12" hidden="1">
      <c r="A24" s="264" t="s">
        <v>264</v>
      </c>
      <c r="B24" s="265" t="s">
        <v>259</v>
      </c>
      <c r="C24" s="266">
        <v>0.58</v>
      </c>
      <c r="D24" s="265" t="s">
        <v>269</v>
      </c>
      <c r="E24" s="267">
        <v>0.52</v>
      </c>
    </row>
    <row r="25" spans="1:8" ht="12.75" hidden="1">
      <c r="A25" s="268" t="s">
        <v>256</v>
      </c>
      <c r="B25" s="269">
        <v>4</v>
      </c>
      <c r="C25" s="269">
        <v>3</v>
      </c>
      <c r="D25" s="269">
        <v>2</v>
      </c>
      <c r="E25" s="270">
        <v>1</v>
      </c>
      <c r="F25" s="247">
        <f>IF($D$9&gt;C24,4,IF($D$9=C24,3,IF(AND($D$9&gt;E24,$D$9&lt;=C24),2,IF($D$9&lt;E24,1,"???"))))</f>
        <v>4</v>
      </c>
      <c r="G25" s="22" t="s">
        <v>420</v>
      </c>
      <c r="H25" s="269">
        <v>4</v>
      </c>
    </row>
    <row r="26" spans="1:5" ht="12" hidden="1">
      <c r="A26" s="271" t="s">
        <v>265</v>
      </c>
      <c r="B26" s="272" t="s">
        <v>257</v>
      </c>
      <c r="C26" s="273">
        <v>0.57</v>
      </c>
      <c r="D26" s="272" t="s">
        <v>268</v>
      </c>
      <c r="E26" s="274">
        <v>0.51</v>
      </c>
    </row>
    <row r="27" spans="1:8" ht="12.75" hidden="1">
      <c r="A27" s="275" t="s">
        <v>256</v>
      </c>
      <c r="B27" s="276">
        <v>4</v>
      </c>
      <c r="C27" s="276">
        <v>3</v>
      </c>
      <c r="D27" s="276">
        <v>2</v>
      </c>
      <c r="E27" s="277">
        <v>1</v>
      </c>
      <c r="F27" s="247">
        <f>IF($D$9&gt;C26,4,IF($D$9=C26,3,IF(AND($D$9&gt;E26,$D$9&lt;=C26),2,IF($D$9&lt;E26,1,"???"))))</f>
        <v>4</v>
      </c>
      <c r="G27" s="22" t="s">
        <v>421</v>
      </c>
      <c r="H27" s="278">
        <v>5</v>
      </c>
    </row>
    <row r="28" spans="1:5" ht="12" hidden="1">
      <c r="A28" s="279" t="s">
        <v>266</v>
      </c>
      <c r="B28" s="280" t="s">
        <v>260</v>
      </c>
      <c r="C28" s="281">
        <v>0.63</v>
      </c>
      <c r="D28" s="280" t="s">
        <v>267</v>
      </c>
      <c r="E28" s="282">
        <v>0.57</v>
      </c>
    </row>
    <row r="29" spans="1:8" ht="12.75" hidden="1">
      <c r="A29" s="283" t="s">
        <v>256</v>
      </c>
      <c r="B29" s="284">
        <v>4</v>
      </c>
      <c r="C29" s="284">
        <v>3</v>
      </c>
      <c r="D29" s="284">
        <v>2</v>
      </c>
      <c r="E29" s="285">
        <v>1</v>
      </c>
      <c r="F29" s="247">
        <f>IF($D$9&gt;C28,4,IF($D$9=C28,3,IF(AND($D$9&gt;E28,$D$9&lt;=C28),2,IF($D$9&lt;E28,1,"???"))))</f>
        <v>4</v>
      </c>
      <c r="G29" s="22" t="s">
        <v>422</v>
      </c>
      <c r="H29" s="286">
        <v>6</v>
      </c>
    </row>
    <row r="30" spans="1:8" s="38" customFormat="1" ht="15" customHeight="1" hidden="1">
      <c r="A30" s="49"/>
      <c r="B30" s="48"/>
      <c r="C30" s="88" t="s">
        <v>415</v>
      </c>
      <c r="D30" s="48"/>
      <c r="E30" s="88" t="s">
        <v>416</v>
      </c>
      <c r="F30" s="22"/>
      <c r="G30" s="22"/>
      <c r="H30" s="22"/>
    </row>
    <row r="31" spans="1:6" s="145" customFormat="1" ht="15" customHeight="1" hidden="1">
      <c r="A31" s="236" t="s">
        <v>429</v>
      </c>
      <c r="B31" s="287"/>
      <c r="C31" s="238" t="s">
        <v>414</v>
      </c>
      <c r="D31" s="287"/>
      <c r="E31" s="238" t="s">
        <v>411</v>
      </c>
      <c r="F31" s="122">
        <f>IF(D10=1,F33,IF(D10=2,F35,IF(D10=3,F37,IF(D10=4,F39,IF(D10=5,F41,F43)))))</f>
        <v>2</v>
      </c>
    </row>
    <row r="32" spans="1:5" ht="12" hidden="1">
      <c r="A32" s="240" t="s">
        <v>261</v>
      </c>
      <c r="B32" s="241" t="s">
        <v>272</v>
      </c>
      <c r="C32" s="288">
        <v>0.65</v>
      </c>
      <c r="D32" s="241" t="s">
        <v>273</v>
      </c>
      <c r="E32" s="289">
        <v>0.59</v>
      </c>
    </row>
    <row r="33" spans="1:8" ht="12.75" hidden="1">
      <c r="A33" s="244" t="s">
        <v>256</v>
      </c>
      <c r="B33" s="245">
        <v>4</v>
      </c>
      <c r="C33" s="245">
        <v>3</v>
      </c>
      <c r="D33" s="245">
        <v>2</v>
      </c>
      <c r="E33" s="246">
        <v>1</v>
      </c>
      <c r="F33" s="247">
        <f>IF($D$9&gt;C32,4,IF($D$9=C32,3,IF(AND($D$9&gt;E32,$D$9&lt;=C32),2,IF($D$9&lt;E32,1,"???"))))</f>
        <v>2</v>
      </c>
      <c r="G33" s="22" t="s">
        <v>423</v>
      </c>
      <c r="H33" s="248">
        <v>1</v>
      </c>
    </row>
    <row r="34" spans="1:5" ht="12" hidden="1">
      <c r="A34" s="249" t="s">
        <v>262</v>
      </c>
      <c r="B34" s="250" t="s">
        <v>274</v>
      </c>
      <c r="C34" s="290">
        <v>0.47</v>
      </c>
      <c r="D34" s="250" t="s">
        <v>275</v>
      </c>
      <c r="E34" s="291">
        <v>0.41</v>
      </c>
    </row>
    <row r="35" spans="1:8" ht="12.75" hidden="1">
      <c r="A35" s="253" t="s">
        <v>256</v>
      </c>
      <c r="B35" s="254">
        <v>4</v>
      </c>
      <c r="C35" s="254">
        <v>3</v>
      </c>
      <c r="D35" s="254">
        <v>2</v>
      </c>
      <c r="E35" s="255">
        <v>1</v>
      </c>
      <c r="F35" s="247">
        <f>IF($D$9&gt;C34,4,IF($D$9=C34,3,IF(AND($D$9&gt;E34,$D$9&lt;=C34),2,IF($D$9&lt;E34,1,"???"))))</f>
        <v>4</v>
      </c>
      <c r="G35" s="22" t="s">
        <v>424</v>
      </c>
      <c r="H35" s="254">
        <v>2</v>
      </c>
    </row>
    <row r="36" spans="1:5" ht="12" hidden="1">
      <c r="A36" s="256" t="s">
        <v>263</v>
      </c>
      <c r="B36" s="257" t="s">
        <v>255</v>
      </c>
      <c r="C36" s="292">
        <v>0.59</v>
      </c>
      <c r="D36" s="257" t="s">
        <v>271</v>
      </c>
      <c r="E36" s="293">
        <v>0.53</v>
      </c>
    </row>
    <row r="37" spans="1:8" ht="12.75" hidden="1">
      <c r="A37" s="260" t="s">
        <v>256</v>
      </c>
      <c r="B37" s="261">
        <v>4</v>
      </c>
      <c r="C37" s="261">
        <v>3</v>
      </c>
      <c r="D37" s="261">
        <v>2</v>
      </c>
      <c r="E37" s="262">
        <v>1</v>
      </c>
      <c r="F37" s="247">
        <f>IF($D$9&gt;C36,4,IF($D$9=C36,3,IF(AND($D$9&gt;E36,$D$9&lt;=C36),2,IF($D$9&lt;E36,1,"???"))))</f>
        <v>4</v>
      </c>
      <c r="G37" s="22" t="s">
        <v>425</v>
      </c>
      <c r="H37" s="263">
        <v>3</v>
      </c>
    </row>
    <row r="38" spans="1:5" ht="12" hidden="1">
      <c r="A38" s="264" t="s">
        <v>264</v>
      </c>
      <c r="B38" s="265" t="s">
        <v>276</v>
      </c>
      <c r="C38" s="294">
        <v>0.61</v>
      </c>
      <c r="D38" s="265" t="s">
        <v>277</v>
      </c>
      <c r="E38" s="295">
        <v>0.55</v>
      </c>
    </row>
    <row r="39" spans="1:8" ht="12.75" hidden="1">
      <c r="A39" s="268" t="s">
        <v>256</v>
      </c>
      <c r="B39" s="269">
        <v>4</v>
      </c>
      <c r="C39" s="269">
        <v>3</v>
      </c>
      <c r="D39" s="269">
        <v>2</v>
      </c>
      <c r="E39" s="270">
        <v>1</v>
      </c>
      <c r="F39" s="247">
        <f>IF($D$9&gt;C38,4,IF($D$9=C38,3,IF(AND($D$9&gt;E38,$D$9&lt;=C38),2,IF($D$9&lt;E38,1,"???"))))</f>
        <v>4</v>
      </c>
      <c r="G39" s="22" t="s">
        <v>426</v>
      </c>
      <c r="H39" s="269">
        <v>4</v>
      </c>
    </row>
    <row r="40" spans="1:5" ht="12" hidden="1">
      <c r="A40" s="271" t="s">
        <v>265</v>
      </c>
      <c r="B40" s="272" t="s">
        <v>278</v>
      </c>
      <c r="C40" s="296">
        <v>0.76</v>
      </c>
      <c r="D40" s="272" t="s">
        <v>287</v>
      </c>
      <c r="E40" s="297">
        <v>0.7</v>
      </c>
    </row>
    <row r="41" spans="1:8" ht="12.75" hidden="1">
      <c r="A41" s="275" t="s">
        <v>256</v>
      </c>
      <c r="B41" s="276">
        <v>4</v>
      </c>
      <c r="C41" s="276">
        <v>3</v>
      </c>
      <c r="D41" s="276">
        <v>2</v>
      </c>
      <c r="E41" s="277">
        <v>1</v>
      </c>
      <c r="F41" s="247">
        <f>IF($D$9&gt;C40,4,IF($D$9=C40,3,IF(AND($D$9&gt;E40,$D$9&lt;=C40),2,IF($D$9&lt;E40,1,"???"))))</f>
        <v>1</v>
      </c>
      <c r="G41" s="22" t="s">
        <v>427</v>
      </c>
      <c r="H41" s="278">
        <v>5</v>
      </c>
    </row>
    <row r="42" spans="1:5" ht="12" hidden="1">
      <c r="A42" s="279" t="s">
        <v>266</v>
      </c>
      <c r="B42" s="280" t="s">
        <v>279</v>
      </c>
      <c r="C42" s="298">
        <v>0.66</v>
      </c>
      <c r="D42" s="280" t="s">
        <v>280</v>
      </c>
      <c r="E42" s="299">
        <v>0.61</v>
      </c>
    </row>
    <row r="43" spans="1:8" ht="12.75" hidden="1">
      <c r="A43" s="283" t="s">
        <v>256</v>
      </c>
      <c r="B43" s="284">
        <v>4</v>
      </c>
      <c r="C43" s="284">
        <v>3</v>
      </c>
      <c r="D43" s="284">
        <v>2</v>
      </c>
      <c r="E43" s="285">
        <v>1</v>
      </c>
      <c r="F43" s="247">
        <f>IF($D$9&gt;C42,4,IF($D$9=C42,3,IF(AND($D$9&gt;E42,$D$9&lt;=C42),2,IF($D$9&lt;E42,1,"???"))))</f>
        <v>2</v>
      </c>
      <c r="G43" s="22" t="s">
        <v>428</v>
      </c>
      <c r="H43" s="286">
        <v>6</v>
      </c>
    </row>
    <row r="44" ht="15" customHeight="1" hidden="1">
      <c r="A44" s="22" t="s">
        <v>514</v>
      </c>
    </row>
    <row r="45" ht="15" customHeight="1" hidden="1"/>
    <row r="46" ht="15" customHeight="1" hidden="1">
      <c r="A46" s="44" t="s">
        <v>515</v>
      </c>
    </row>
    <row r="47" ht="15" customHeight="1" hidden="1"/>
    <row r="48" spans="2:256" ht="15" customHeight="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c r="FP48" s="131"/>
      <c r="FQ48" s="131"/>
      <c r="FR48" s="131"/>
      <c r="FS48" s="131"/>
      <c r="FT48" s="131"/>
      <c r="FU48" s="131"/>
      <c r="FV48" s="131"/>
      <c r="FW48" s="131"/>
      <c r="FX48" s="131"/>
      <c r="FY48" s="131"/>
      <c r="FZ48" s="131"/>
      <c r="GA48" s="131"/>
      <c r="GB48" s="131"/>
      <c r="GC48" s="131"/>
      <c r="GD48" s="131"/>
      <c r="GE48" s="131"/>
      <c r="GF48" s="131"/>
      <c r="GG48" s="131"/>
      <c r="GH48" s="131"/>
      <c r="GI48" s="131"/>
      <c r="GJ48" s="131"/>
      <c r="GK48" s="131"/>
      <c r="GL48" s="131"/>
      <c r="GM48" s="131"/>
      <c r="GN48" s="131"/>
      <c r="GO48" s="131"/>
      <c r="GP48" s="131"/>
      <c r="GQ48" s="131"/>
      <c r="GR48" s="131"/>
      <c r="GS48" s="131"/>
      <c r="GT48" s="131"/>
      <c r="GU48" s="131"/>
      <c r="GV48" s="131"/>
      <c r="GW48" s="131"/>
      <c r="GX48" s="131"/>
      <c r="GY48" s="131"/>
      <c r="GZ48" s="131"/>
      <c r="HA48" s="131"/>
      <c r="HB48" s="131"/>
      <c r="HC48" s="131"/>
      <c r="HD48" s="131"/>
      <c r="HE48" s="131"/>
      <c r="HF48" s="131"/>
      <c r="HG48" s="131"/>
      <c r="HH48" s="131"/>
      <c r="HI48" s="131"/>
      <c r="HJ48" s="131"/>
      <c r="HK48" s="131"/>
      <c r="HL48" s="131"/>
      <c r="HM48" s="131"/>
      <c r="HN48" s="131"/>
      <c r="HO48" s="131"/>
      <c r="HP48" s="131"/>
      <c r="HQ48" s="131"/>
      <c r="HR48" s="131"/>
      <c r="HS48" s="131"/>
      <c r="HT48" s="131"/>
      <c r="HU48" s="131"/>
      <c r="HV48" s="131"/>
      <c r="HW48" s="131"/>
      <c r="HX48" s="131"/>
      <c r="HY48" s="131"/>
      <c r="HZ48" s="131"/>
      <c r="IA48" s="131"/>
      <c r="IB48" s="131"/>
      <c r="IC48" s="131"/>
      <c r="ID48" s="131"/>
      <c r="IE48" s="131"/>
      <c r="IF48" s="131"/>
      <c r="IG48" s="131"/>
      <c r="IH48" s="131"/>
      <c r="II48" s="131"/>
      <c r="IJ48" s="131"/>
      <c r="IK48" s="131"/>
      <c r="IL48" s="131"/>
      <c r="IM48" s="131"/>
      <c r="IN48" s="131"/>
      <c r="IO48" s="131"/>
      <c r="IP48" s="131"/>
      <c r="IQ48" s="131"/>
      <c r="IR48" s="131"/>
      <c r="IS48" s="131"/>
      <c r="IT48" s="131"/>
      <c r="IU48" s="131"/>
      <c r="IV48" s="131"/>
    </row>
    <row r="49" spans="1:11" ht="19.5" customHeight="1">
      <c r="A49" s="438" t="s">
        <v>328</v>
      </c>
      <c r="B49" s="438"/>
      <c r="C49" s="438"/>
      <c r="D49" s="438"/>
      <c r="E49" s="438"/>
      <c r="F49" s="131"/>
      <c r="G49" s="131"/>
      <c r="H49" s="131"/>
      <c r="I49" s="131"/>
      <c r="J49" s="131"/>
      <c r="K49" s="131"/>
    </row>
    <row r="50" spans="1:5" ht="12">
      <c r="A50" s="39" t="s">
        <v>153</v>
      </c>
      <c r="E50" s="58" t="s">
        <v>154</v>
      </c>
    </row>
    <row r="51" spans="1:5" ht="12">
      <c r="A51" s="451" t="s">
        <v>453</v>
      </c>
      <c r="B51" s="451"/>
      <c r="C51" s="451"/>
      <c r="D51" s="451"/>
      <c r="E51" s="451"/>
    </row>
    <row r="63" ht="138.75">
      <c r="A63" s="409" t="s">
        <v>647</v>
      </c>
    </row>
  </sheetData>
  <sheetProtection password="DF64" sheet="1"/>
  <mergeCells count="9">
    <mergeCell ref="A51:E51"/>
    <mergeCell ref="A1:E1"/>
    <mergeCell ref="A4:E4"/>
    <mergeCell ref="A5:E5"/>
    <mergeCell ref="A10:C10"/>
    <mergeCell ref="A13:C13"/>
    <mergeCell ref="A8:C8"/>
    <mergeCell ref="A49:E49"/>
    <mergeCell ref="A9:C9"/>
  </mergeCells>
  <dataValidations count="1">
    <dataValidation type="list" allowBlank="1" showInputMessage="1" showErrorMessage="1" promptTitle="Entrez le chiffre" prompt="qui correspond à votre type d'hôtel&#10;" errorTitle="Erreur saisie !" error="La valeur que vous avez tapée n'est pas valide.&#10;VEUILLEZ ENTRER UN chiffre de 1 à 6&#10;selon le type de votre hôtel,&#10;question ci-contre =&gt;" sqref="D10">
      <formula1>"1,2,3,4,5,6"</formula1>
    </dataValidation>
  </dataValidations>
  <hyperlinks>
    <hyperlink ref="A49" r:id="rId1" display="Cliquez ici pour commencer"/>
    <hyperlink ref="A49:D49" r:id="rId2" display="Cliquez ici pour continuer"/>
    <hyperlink ref="A49:E49" location="'24'!A1" display="Cliquez ici pour continuer"/>
    <hyperlink ref="A50" location="'22'!A1" display="retour"/>
    <hyperlink ref="E50" location="'24'!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4.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6" sqref="D26"/>
    </sheetView>
  </sheetViews>
  <sheetFormatPr defaultColWidth="11.421875" defaultRowHeight="12.75"/>
  <cols>
    <col min="1" max="1" width="36.7109375" style="22" customWidth="1"/>
    <col min="2" max="4" width="30.7109375" style="22" customWidth="1"/>
    <col min="5" max="5" width="21.7109375" style="22" customWidth="1"/>
    <col min="6" max="6" width="12.28125" style="22" bestFit="1" customWidth="1"/>
    <col min="7" max="16384" width="11.421875" style="22" customWidth="1"/>
  </cols>
  <sheetData>
    <row r="1" spans="1:4" ht="34.5" customHeight="1">
      <c r="A1" s="511" t="s">
        <v>613</v>
      </c>
      <c r="B1" s="439"/>
      <c r="C1" s="439"/>
      <c r="D1" s="439"/>
    </row>
    <row r="2" ht="15" customHeight="1"/>
    <row r="3" ht="15" customHeight="1">
      <c r="A3" s="300" t="s">
        <v>465</v>
      </c>
    </row>
    <row r="4" spans="1:4" ht="15" customHeight="1">
      <c r="A4" s="301"/>
      <c r="B4" s="301"/>
      <c r="C4" s="301"/>
      <c r="D4" s="301"/>
    </row>
    <row r="5" spans="1:4" ht="15" customHeight="1">
      <c r="A5" s="529" t="s">
        <v>246</v>
      </c>
      <c r="B5" s="529"/>
      <c r="C5" s="529"/>
      <c r="D5" s="109">
        <f>8!D8</f>
        <v>3</v>
      </c>
    </row>
    <row r="6" spans="1:4" ht="15" customHeight="1">
      <c r="A6" s="529" t="s">
        <v>644</v>
      </c>
      <c r="B6" s="529"/>
      <c r="C6" s="529"/>
      <c r="D6" s="110">
        <f>4!D5:E5</f>
        <v>492307.4166666667</v>
      </c>
    </row>
    <row r="7" spans="1:4" ht="15" customHeight="1">
      <c r="A7" s="529" t="s">
        <v>244</v>
      </c>
      <c r="B7" s="529"/>
      <c r="C7" s="529"/>
      <c r="D7" s="110">
        <f>8!D10</f>
        <v>27</v>
      </c>
    </row>
    <row r="8" spans="1:4" ht="15" customHeight="1">
      <c r="A8" s="517" t="s">
        <v>660</v>
      </c>
      <c r="B8" s="517"/>
      <c r="C8" s="517"/>
      <c r="D8" s="302">
        <f>D6/D7</f>
        <v>18233.60802469136</v>
      </c>
    </row>
    <row r="9" spans="1:4" ht="15" customHeight="1">
      <c r="A9" s="303"/>
      <c r="B9" s="303"/>
      <c r="C9" s="303"/>
      <c r="D9" s="304"/>
    </row>
    <row r="10" spans="2:5" ht="12.75" hidden="1">
      <c r="B10" s="305" t="s">
        <v>283</v>
      </c>
      <c r="C10" s="305"/>
      <c r="D10" s="305"/>
      <c r="E10" s="305"/>
    </row>
    <row r="11" spans="1:5" ht="12.75" hidden="1">
      <c r="A11" s="92" t="s">
        <v>245</v>
      </c>
      <c r="B11" s="306" t="s">
        <v>516</v>
      </c>
      <c r="C11" s="307"/>
      <c r="D11" s="307"/>
      <c r="E11" s="308"/>
    </row>
    <row r="12" spans="1:5" ht="12.75" hidden="1">
      <c r="A12" s="94" t="s">
        <v>570</v>
      </c>
      <c r="B12" s="124" t="str">
        <f>CONCATENATE("&lt; à ",ROUND(C19-C19*10%,0))</f>
        <v>&lt; à 12635</v>
      </c>
      <c r="C12" s="124" t="str">
        <f>CONCATENATE("&lt; à ",ROUND(C19-C19*5%,0))</f>
        <v>&lt; à 13337</v>
      </c>
      <c r="D12" s="309">
        <f>C19</f>
        <v>14039</v>
      </c>
      <c r="E12" s="124" t="str">
        <f>CONCATENATE("&gt; à ",C19)</f>
        <v>&gt; à 14039</v>
      </c>
    </row>
    <row r="13" spans="1:5" ht="12" hidden="1">
      <c r="A13" s="310" t="s">
        <v>520</v>
      </c>
      <c r="B13" s="124">
        <v>1</v>
      </c>
      <c r="C13" s="124">
        <v>2</v>
      </c>
      <c r="D13" s="124">
        <v>3</v>
      </c>
      <c r="E13" s="124">
        <v>4</v>
      </c>
    </row>
    <row r="14" spans="1:5" ht="12.75" hidden="1">
      <c r="A14" s="311"/>
      <c r="B14" s="312" t="s">
        <v>175</v>
      </c>
      <c r="C14" s="312" t="s">
        <v>176</v>
      </c>
      <c r="D14" s="312" t="s">
        <v>173</v>
      </c>
      <c r="E14" s="312" t="s">
        <v>174</v>
      </c>
    </row>
    <row r="15" spans="1:5" ht="12.75" hidden="1">
      <c r="A15" s="96" t="s">
        <v>245</v>
      </c>
      <c r="B15" s="313" t="s">
        <v>516</v>
      </c>
      <c r="C15" s="314"/>
      <c r="D15" s="314"/>
      <c r="E15" s="315"/>
    </row>
    <row r="16" spans="1:5" ht="12.75" hidden="1">
      <c r="A16" s="316" t="s">
        <v>571</v>
      </c>
      <c r="B16" s="129" t="str">
        <f>CONCATENATE("&lt; à ",ROUND(E19-E19*10%,0))</f>
        <v>&lt; à 24178</v>
      </c>
      <c r="C16" s="129" t="str">
        <f>CONCATENATE("&lt; à ",ROUND(E19-E19*5%,0))</f>
        <v>&lt; à 25521</v>
      </c>
      <c r="D16" s="317">
        <f>E19</f>
        <v>26864</v>
      </c>
      <c r="E16" s="129" t="str">
        <f>CONCATENATE("&gt; à ",E19)</f>
        <v>&gt; à 26864</v>
      </c>
    </row>
    <row r="17" spans="1:5" ht="15" customHeight="1" hidden="1">
      <c r="A17" s="318" t="s">
        <v>521</v>
      </c>
      <c r="B17" s="129">
        <v>1</v>
      </c>
      <c r="C17" s="129">
        <v>2</v>
      </c>
      <c r="D17" s="129">
        <v>3</v>
      </c>
      <c r="E17" s="129">
        <v>4</v>
      </c>
    </row>
    <row r="18" ht="15" customHeight="1" hidden="1">
      <c r="A18" s="132"/>
    </row>
    <row r="19" spans="1:9" ht="15" customHeight="1" hidden="1">
      <c r="A19" s="22" t="s">
        <v>351</v>
      </c>
      <c r="C19" s="319">
        <v>14039</v>
      </c>
      <c r="D19" s="101" t="s">
        <v>348</v>
      </c>
      <c r="E19" s="319">
        <v>26864</v>
      </c>
      <c r="F19" s="2"/>
      <c r="G19" s="2"/>
      <c r="H19" s="3"/>
      <c r="I19" s="2"/>
    </row>
    <row r="20" ht="15" customHeight="1" hidden="1">
      <c r="A20" s="132"/>
    </row>
    <row r="21" ht="15" customHeight="1"/>
    <row r="22" spans="1:5" ht="39.75" customHeight="1">
      <c r="A22" s="533" t="s">
        <v>172</v>
      </c>
      <c r="B22" s="533"/>
      <c r="C22" s="146">
        <f>IF(AND($D$5&gt;=3,$D$8&lt;($E$19-$E$19*10%)),1,IF(AND($D$5&gt;=3,$D$8&lt;$E$19,$D$8&gt;($E$19-$E$19*10%)),2,IF(AND($D$5&gt;=3,$D$8=$E$19),3,IF(AND($D$5&gt;=3,$D$8&gt;$E$19),4,IF($D$8&lt;($C$19-$C$19*10%),1,IF(AND($D$8&lt;$C$19,$D$8&gt;($C$19-$C$19*10%)),2,IF($D$8=$C$19,3,4)))))))</f>
        <v>1</v>
      </c>
      <c r="D22" s="320" t="s">
        <v>292</v>
      </c>
      <c r="E22" s="2" t="s">
        <v>576</v>
      </c>
    </row>
    <row r="23" ht="15" customHeight="1"/>
    <row r="24" ht="15" customHeight="1">
      <c r="F24" s="116"/>
    </row>
    <row r="25" spans="1:4" ht="19.5" customHeight="1">
      <c r="A25" s="438" t="s">
        <v>328</v>
      </c>
      <c r="B25" s="438"/>
      <c r="C25" s="438"/>
      <c r="D25" s="438"/>
    </row>
    <row r="26" spans="1:4" ht="12">
      <c r="A26" s="39" t="s">
        <v>153</v>
      </c>
      <c r="D26" s="58" t="s">
        <v>154</v>
      </c>
    </row>
    <row r="27" ht="12">
      <c r="A27" s="22" t="s">
        <v>379</v>
      </c>
    </row>
    <row r="28" spans="1:4" ht="12">
      <c r="A28" s="451" t="s">
        <v>454</v>
      </c>
      <c r="B28" s="451"/>
      <c r="C28" s="451"/>
      <c r="D28" s="451"/>
    </row>
    <row r="63" ht="114">
      <c r="A63" s="409" t="s">
        <v>647</v>
      </c>
    </row>
  </sheetData>
  <sheetProtection password="DF64" sheet="1" objects="1" scenarios="1"/>
  <mergeCells count="8">
    <mergeCell ref="A28:D28"/>
    <mergeCell ref="A1:D1"/>
    <mergeCell ref="A25:D25"/>
    <mergeCell ref="A5:C5"/>
    <mergeCell ref="A6:C6"/>
    <mergeCell ref="A7:C7"/>
    <mergeCell ref="A8:C8"/>
    <mergeCell ref="A22:B22"/>
  </mergeCells>
  <hyperlinks>
    <hyperlink ref="A25" r:id="rId1" display="Cliquez ici pour commencer"/>
    <hyperlink ref="A25:D25" location="'25'!A1" display="Cliquez ici pour continuer"/>
    <hyperlink ref="A26" location="'23'!A1" display="retour"/>
    <hyperlink ref="D26" location="'25'!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25.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2" sqref="D22"/>
    </sheetView>
  </sheetViews>
  <sheetFormatPr defaultColWidth="11.421875" defaultRowHeight="12.75"/>
  <cols>
    <col min="1" max="1" width="45.7109375" style="22" customWidth="1"/>
    <col min="2" max="4" width="25.7109375" style="22" customWidth="1"/>
    <col min="5" max="5" width="16.8515625" style="22" customWidth="1"/>
    <col min="6" max="6" width="12.28125" style="22" bestFit="1" customWidth="1"/>
    <col min="7" max="16384" width="11.421875" style="22" customWidth="1"/>
  </cols>
  <sheetData>
    <row r="1" spans="1:4" ht="34.5" customHeight="1">
      <c r="A1" s="511" t="s">
        <v>614</v>
      </c>
      <c r="B1" s="439"/>
      <c r="C1" s="439"/>
      <c r="D1" s="439"/>
    </row>
    <row r="2" ht="15" customHeight="1"/>
    <row r="3" ht="15" customHeight="1">
      <c r="A3" s="155" t="s">
        <v>462</v>
      </c>
    </row>
    <row r="4" ht="15" customHeight="1">
      <c r="A4" s="131"/>
    </row>
    <row r="5" spans="1:4" ht="15" customHeight="1">
      <c r="A5" s="529" t="s">
        <v>177</v>
      </c>
      <c r="B5" s="529"/>
      <c r="C5" s="529"/>
      <c r="D5" s="110">
        <f>3!B6</f>
        <v>451528</v>
      </c>
    </row>
    <row r="6" spans="1:4" ht="15" customHeight="1">
      <c r="A6" s="529" t="s">
        <v>178</v>
      </c>
      <c r="B6" s="529"/>
      <c r="C6" s="529"/>
      <c r="D6" s="110">
        <f>3!D6</f>
        <v>472088</v>
      </c>
    </row>
    <row r="7" spans="1:4" ht="15" customHeight="1">
      <c r="A7" s="529" t="s">
        <v>180</v>
      </c>
      <c r="B7" s="529"/>
      <c r="C7" s="529"/>
      <c r="D7" s="110">
        <f>3!F6</f>
        <v>0</v>
      </c>
    </row>
    <row r="8" spans="1:4" ht="15" customHeight="1">
      <c r="A8" s="517" t="s">
        <v>179</v>
      </c>
      <c r="B8" s="517"/>
      <c r="C8" s="517"/>
      <c r="D8" s="380">
        <f>IF(D7&lt;&gt;0,(D5*100%/D7)-100%,(D5*100%/D6)-100%)</f>
        <v>-0.04355120231821186</v>
      </c>
    </row>
    <row r="9" ht="15" customHeight="1">
      <c r="A9" s="131"/>
    </row>
    <row r="10" spans="1:5" ht="15" customHeight="1" hidden="1">
      <c r="A10" s="532" t="s">
        <v>285</v>
      </c>
      <c r="B10" s="518"/>
      <c r="C10" s="518"/>
      <c r="D10" s="518"/>
      <c r="E10" s="518"/>
    </row>
    <row r="11" spans="1:5" ht="15" customHeight="1" hidden="1">
      <c r="A11" s="92" t="s">
        <v>518</v>
      </c>
      <c r="B11" s="622" t="s">
        <v>517</v>
      </c>
      <c r="C11" s="623"/>
      <c r="D11" s="623"/>
      <c r="E11" s="623"/>
    </row>
    <row r="12" spans="1:5" ht="52.5" customHeight="1" hidden="1">
      <c r="A12" s="417" t="s">
        <v>519</v>
      </c>
      <c r="B12" s="323" t="s">
        <v>525</v>
      </c>
      <c r="C12" s="323" t="s">
        <v>530</v>
      </c>
      <c r="D12" s="324" t="s">
        <v>531</v>
      </c>
      <c r="E12" s="323" t="s">
        <v>532</v>
      </c>
    </row>
    <row r="13" spans="1:5" ht="15" customHeight="1" hidden="1">
      <c r="A13" s="325" t="s">
        <v>520</v>
      </c>
      <c r="B13" s="122">
        <v>1</v>
      </c>
      <c r="C13" s="122">
        <v>2</v>
      </c>
      <c r="D13" s="122">
        <v>3</v>
      </c>
      <c r="E13" s="122">
        <v>4</v>
      </c>
    </row>
    <row r="14" spans="1:9" ht="15" customHeight="1" hidden="1">
      <c r="A14" s="22" t="s">
        <v>524</v>
      </c>
      <c r="C14" s="326"/>
      <c r="D14" s="101"/>
      <c r="E14" s="326"/>
      <c r="F14" s="2"/>
      <c r="G14" s="2"/>
      <c r="H14" s="3"/>
      <c r="I14" s="2"/>
    </row>
    <row r="15" spans="1:9" ht="15" customHeight="1" hidden="1">
      <c r="A15" s="44"/>
      <c r="F15" s="134"/>
      <c r="G15" s="134"/>
      <c r="H15" s="134"/>
      <c r="I15" s="134"/>
    </row>
    <row r="16" ht="15" customHeight="1" hidden="1">
      <c r="A16" s="327" t="s">
        <v>34</v>
      </c>
    </row>
    <row r="17" ht="15" customHeight="1"/>
    <row r="18" spans="1:6" ht="39.75" customHeight="1">
      <c r="A18" s="522" t="s">
        <v>400</v>
      </c>
      <c r="B18" s="523"/>
      <c r="C18" s="405">
        <f>IF(D8&gt;0%,E13,IF(D8=0%,D13,IF(AND(D8&lt;0%,D8&gt;-10%),C13,B13)))</f>
        <v>2</v>
      </c>
      <c r="D18" s="106" t="s">
        <v>292</v>
      </c>
      <c r="E18" s="328" t="s">
        <v>553</v>
      </c>
      <c r="F18" s="154"/>
    </row>
    <row r="19" spans="1:5" ht="15" customHeight="1">
      <c r="A19" s="46"/>
      <c r="B19" s="49"/>
      <c r="C19" s="49"/>
      <c r="D19" s="49"/>
      <c r="E19" s="46"/>
    </row>
    <row r="20" ht="15" customHeight="1"/>
    <row r="21" spans="1:4" ht="19.5" customHeight="1">
      <c r="A21" s="438" t="s">
        <v>328</v>
      </c>
      <c r="B21" s="438"/>
      <c r="C21" s="438"/>
      <c r="D21" s="438"/>
    </row>
    <row r="22" spans="1:4" ht="12">
      <c r="A22" s="39" t="s">
        <v>153</v>
      </c>
      <c r="D22" s="58" t="s">
        <v>154</v>
      </c>
    </row>
    <row r="23" ht="12">
      <c r="A23" s="22" t="s">
        <v>379</v>
      </c>
    </row>
    <row r="24" spans="1:4" ht="12">
      <c r="A24" s="451" t="s">
        <v>455</v>
      </c>
      <c r="B24" s="451"/>
      <c r="C24" s="451"/>
      <c r="D24" s="451"/>
    </row>
    <row r="63" ht="101.25">
      <c r="A63" s="409" t="s">
        <v>647</v>
      </c>
    </row>
  </sheetData>
  <sheetProtection password="DF64" sheet="1" objects="1" scenarios="1"/>
  <mergeCells count="10">
    <mergeCell ref="A24:D24"/>
    <mergeCell ref="A1:D1"/>
    <mergeCell ref="A21:D21"/>
    <mergeCell ref="A5:C5"/>
    <mergeCell ref="A6:C6"/>
    <mergeCell ref="A7:C7"/>
    <mergeCell ref="A8:C8"/>
    <mergeCell ref="A18:B18"/>
    <mergeCell ref="B11:E11"/>
    <mergeCell ref="A10:E10"/>
  </mergeCells>
  <hyperlinks>
    <hyperlink ref="A21" r:id="rId1" display="Cliquez ici pour commencer"/>
    <hyperlink ref="A21:E21" r:id="rId2" display="Cliquez ici pour continuer"/>
    <hyperlink ref="A21:D21" location="'26'!A1" display="Cliquez ici pour continuer"/>
    <hyperlink ref="A22" location="'24'!A1" display="retour"/>
    <hyperlink ref="D22" location="'26'!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6.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5" sqref="D25"/>
    </sheetView>
  </sheetViews>
  <sheetFormatPr defaultColWidth="11.421875" defaultRowHeight="12.75"/>
  <cols>
    <col min="1" max="1" width="40.7109375" style="22" customWidth="1"/>
    <col min="2" max="4" width="30.7109375" style="22" customWidth="1"/>
    <col min="5" max="5" width="21.7109375" style="22" customWidth="1"/>
    <col min="6" max="6" width="12.28125" style="22" bestFit="1" customWidth="1"/>
    <col min="7" max="16384" width="11.421875" style="22" customWidth="1"/>
  </cols>
  <sheetData>
    <row r="1" spans="1:4" ht="34.5" customHeight="1">
      <c r="A1" s="511" t="s">
        <v>615</v>
      </c>
      <c r="B1" s="439"/>
      <c r="C1" s="439"/>
      <c r="D1" s="439"/>
    </row>
    <row r="2" ht="15" customHeight="1"/>
    <row r="3" ht="15" customHeight="1">
      <c r="A3" s="155" t="s">
        <v>466</v>
      </c>
    </row>
    <row r="4" ht="15" customHeight="1">
      <c r="A4" s="131"/>
    </row>
    <row r="5" spans="1:4" ht="15" customHeight="1">
      <c r="A5" s="529" t="s">
        <v>645</v>
      </c>
      <c r="B5" s="529"/>
      <c r="C5" s="529"/>
      <c r="D5" s="329">
        <f>5!B5</f>
        <v>123959.33333333333</v>
      </c>
    </row>
    <row r="6" spans="1:4" ht="15" customHeight="1">
      <c r="A6" s="584" t="s">
        <v>467</v>
      </c>
      <c r="B6" s="585"/>
      <c r="C6" s="586"/>
      <c r="D6" s="329">
        <f>9!D8</f>
        <v>458381.3333333333</v>
      </c>
    </row>
    <row r="7" spans="1:4" ht="15" customHeight="1">
      <c r="A7" s="626" t="s">
        <v>382</v>
      </c>
      <c r="B7" s="627"/>
      <c r="C7" s="628"/>
      <c r="D7" s="380">
        <f>D5/D6</f>
        <v>0.2704284060432944</v>
      </c>
    </row>
    <row r="8" ht="15" customHeight="1">
      <c r="A8" s="131"/>
    </row>
    <row r="9" spans="1:5" ht="15" customHeight="1" hidden="1">
      <c r="A9" s="532" t="s">
        <v>181</v>
      </c>
      <c r="B9" s="518"/>
      <c r="C9" s="518"/>
      <c r="D9" s="518"/>
      <c r="E9" s="518"/>
    </row>
    <row r="10" spans="1:5" ht="27.75" customHeight="1" hidden="1">
      <c r="A10" s="92"/>
      <c r="B10" s="330" t="s">
        <v>185</v>
      </c>
      <c r="C10" s="330" t="s">
        <v>184</v>
      </c>
      <c r="D10" s="122" t="s">
        <v>173</v>
      </c>
      <c r="E10" s="122" t="str">
        <f>CONCATENATE("&gt; à ",D11*100,"%")</f>
        <v>&gt; à 26,43%</v>
      </c>
    </row>
    <row r="11" spans="1:5" s="57" customFormat="1" ht="30" customHeight="1" hidden="1">
      <c r="A11" s="331" t="s">
        <v>529</v>
      </c>
      <c r="B11" s="332">
        <f>D11-D11*10%</f>
        <v>0.23786999999999997</v>
      </c>
      <c r="C11" s="332">
        <f>D11-(D11*5%)</f>
        <v>0.251085</v>
      </c>
      <c r="D11" s="381">
        <v>0.2643</v>
      </c>
      <c r="E11" s="381">
        <f>D11+0.0001</f>
        <v>0.26439999999999997</v>
      </c>
    </row>
    <row r="12" spans="1:5" ht="15" customHeight="1" hidden="1">
      <c r="A12" s="333" t="s">
        <v>520</v>
      </c>
      <c r="B12" s="122">
        <v>1</v>
      </c>
      <c r="C12" s="122">
        <v>2</v>
      </c>
      <c r="D12" s="122">
        <v>3</v>
      </c>
      <c r="E12" s="122">
        <v>4</v>
      </c>
    </row>
    <row r="13" spans="1:9" ht="15" customHeight="1" hidden="1">
      <c r="A13" s="334" t="s">
        <v>528</v>
      </c>
      <c r="C13" s="326"/>
      <c r="D13" s="101"/>
      <c r="E13" s="326"/>
      <c r="F13" s="2"/>
      <c r="G13" s="2"/>
      <c r="H13" s="3"/>
      <c r="I13" s="2"/>
    </row>
    <row r="14" spans="1:9" ht="15" customHeight="1" hidden="1">
      <c r="A14" s="44"/>
      <c r="F14" s="134"/>
      <c r="G14" s="134"/>
      <c r="H14" s="134"/>
      <c r="I14" s="134"/>
    </row>
    <row r="15" ht="15" customHeight="1" hidden="1">
      <c r="A15" s="132" t="s">
        <v>34</v>
      </c>
    </row>
    <row r="16" ht="12" hidden="1">
      <c r="A16" s="22" t="s">
        <v>533</v>
      </c>
    </row>
    <row r="17" ht="12" hidden="1">
      <c r="A17" s="22" t="s">
        <v>297</v>
      </c>
    </row>
    <row r="18" ht="12" hidden="1">
      <c r="A18" s="22" t="s">
        <v>182</v>
      </c>
    </row>
    <row r="19" ht="12" hidden="1">
      <c r="A19" s="22" t="s">
        <v>183</v>
      </c>
    </row>
    <row r="20" ht="15" customHeight="1"/>
    <row r="21" spans="1:5" ht="39.75" customHeight="1">
      <c r="A21" s="625" t="s">
        <v>526</v>
      </c>
      <c r="B21" s="625"/>
      <c r="C21" s="335">
        <f>IF(D7&gt;D11,E12,IF(D7=D11,D12,IF(AND(D7&lt;D11,D7&gt;=D11-D11*10%),C12,IF(D7=0,"#",B12))))</f>
        <v>4</v>
      </c>
      <c r="D21" s="336" t="s">
        <v>292</v>
      </c>
      <c r="E21" s="2"/>
    </row>
    <row r="22" ht="15" customHeight="1"/>
    <row r="23" ht="15" customHeight="1"/>
    <row r="24" spans="1:4" ht="19.5" customHeight="1">
      <c r="A24" s="438" t="s">
        <v>328</v>
      </c>
      <c r="B24" s="438"/>
      <c r="C24" s="438"/>
      <c r="D24" s="438"/>
    </row>
    <row r="25" spans="1:4" ht="12">
      <c r="A25" s="39" t="s">
        <v>153</v>
      </c>
      <c r="D25" s="58" t="s">
        <v>154</v>
      </c>
    </row>
    <row r="26" ht="12">
      <c r="A26" s="22" t="s">
        <v>379</v>
      </c>
    </row>
    <row r="27" spans="1:4" ht="12">
      <c r="A27" s="624" t="s">
        <v>456</v>
      </c>
      <c r="B27" s="624"/>
      <c r="C27" s="624"/>
      <c r="D27" s="624"/>
    </row>
    <row r="28" ht="12">
      <c r="D28" s="304"/>
    </row>
    <row r="63" ht="114">
      <c r="A63" s="409" t="s">
        <v>647</v>
      </c>
    </row>
  </sheetData>
  <sheetProtection password="DF64" sheet="1" objects="1" scenarios="1"/>
  <mergeCells count="8">
    <mergeCell ref="A27:D27"/>
    <mergeCell ref="A1:D1"/>
    <mergeCell ref="A24:D24"/>
    <mergeCell ref="A9:E9"/>
    <mergeCell ref="A21:B21"/>
    <mergeCell ref="A7:C7"/>
    <mergeCell ref="A5:C5"/>
    <mergeCell ref="A6:C6"/>
  </mergeCells>
  <hyperlinks>
    <hyperlink ref="A24" r:id="rId1" display="Cliquez ici pour commencer"/>
    <hyperlink ref="A24:E24" r:id="rId2" display="Cliquez ici pour continuer"/>
    <hyperlink ref="A24:D24" location="'27'!A1" display="Cliquez ici pour continuer"/>
    <hyperlink ref="A25" location="'25'!A1" display="retour"/>
    <hyperlink ref="D25" location="'27'!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7.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3" sqref="D23"/>
    </sheetView>
  </sheetViews>
  <sheetFormatPr defaultColWidth="11.421875" defaultRowHeight="12.75"/>
  <cols>
    <col min="1" max="1" width="40.7109375" style="22" customWidth="1"/>
    <col min="2" max="4" width="30.7109375" style="22" customWidth="1"/>
    <col min="5" max="5" width="21.7109375" style="22" customWidth="1"/>
    <col min="6" max="6" width="12.28125" style="22" bestFit="1" customWidth="1"/>
    <col min="7" max="16384" width="11.421875" style="22" customWidth="1"/>
  </cols>
  <sheetData>
    <row r="1" spans="1:4" ht="34.5" customHeight="1">
      <c r="A1" s="511" t="s">
        <v>616</v>
      </c>
      <c r="B1" s="511"/>
      <c r="C1" s="511"/>
      <c r="D1" s="511"/>
    </row>
    <row r="2" ht="15" customHeight="1"/>
    <row r="3" ht="15" customHeight="1">
      <c r="A3" s="155" t="s">
        <v>383</v>
      </c>
    </row>
    <row r="4" ht="15" customHeight="1" hidden="1" thickBot="1"/>
    <row r="5" spans="1:4" ht="54.75" customHeight="1" hidden="1">
      <c r="A5" s="494" t="s">
        <v>534</v>
      </c>
      <c r="B5" s="495"/>
      <c r="C5" s="495"/>
      <c r="D5" s="496"/>
    </row>
    <row r="6" spans="1:4" ht="30" customHeight="1" hidden="1" thickBot="1">
      <c r="A6" s="629" t="s">
        <v>527</v>
      </c>
      <c r="B6" s="520"/>
      <c r="C6" s="520"/>
      <c r="D6" s="521"/>
    </row>
    <row r="7" spans="1:4" ht="15" customHeight="1">
      <c r="A7" s="337"/>
      <c r="B7" s="46"/>
      <c r="C7" s="46"/>
      <c r="D7" s="46"/>
    </row>
    <row r="8" spans="1:4" ht="15" customHeight="1">
      <c r="A8" s="529" t="s">
        <v>187</v>
      </c>
      <c r="B8" s="529"/>
      <c r="C8" s="529"/>
      <c r="D8" s="110">
        <f>3!B14</f>
        <v>109144</v>
      </c>
    </row>
    <row r="9" spans="1:4" ht="15" customHeight="1">
      <c r="A9" s="529" t="s">
        <v>188</v>
      </c>
      <c r="B9" s="529"/>
      <c r="C9" s="529"/>
      <c r="D9" s="110">
        <f>3!D14</f>
        <v>153590</v>
      </c>
    </row>
    <row r="10" spans="1:4" ht="15" customHeight="1">
      <c r="A10" s="529" t="s">
        <v>189</v>
      </c>
      <c r="B10" s="529"/>
      <c r="C10" s="529"/>
      <c r="D10" s="110">
        <f>+3!F14</f>
        <v>0</v>
      </c>
    </row>
    <row r="11" spans="1:5" ht="15" customHeight="1">
      <c r="A11" s="517" t="s">
        <v>190</v>
      </c>
      <c r="B11" s="517"/>
      <c r="C11" s="517"/>
      <c r="D11" s="321">
        <f>IF(D10&lt;&gt;0,(D8*100%/D10)-100%,(D8*100%/D9)-100%)</f>
        <v>-0.28938081906374113</v>
      </c>
      <c r="E11" s="338"/>
    </row>
    <row r="12" spans="1:4" ht="15" customHeight="1">
      <c r="A12" s="337"/>
      <c r="B12" s="46"/>
      <c r="C12" s="46"/>
      <c r="D12" s="46"/>
    </row>
    <row r="13" spans="1:5" ht="15" customHeight="1" hidden="1">
      <c r="A13" s="532" t="s">
        <v>285</v>
      </c>
      <c r="B13" s="518"/>
      <c r="C13" s="518"/>
      <c r="D13" s="518"/>
      <c r="E13" s="518"/>
    </row>
    <row r="14" spans="1:5" ht="15" customHeight="1" hidden="1">
      <c r="A14" s="92" t="s">
        <v>518</v>
      </c>
      <c r="B14" s="622" t="s">
        <v>537</v>
      </c>
      <c r="C14" s="623"/>
      <c r="D14" s="623"/>
      <c r="E14" s="623"/>
    </row>
    <row r="15" spans="1:5" s="57" customFormat="1" ht="53.25" customHeight="1" hidden="1">
      <c r="A15" s="322" t="s">
        <v>535</v>
      </c>
      <c r="B15" s="323" t="s">
        <v>525</v>
      </c>
      <c r="C15" s="323" t="s">
        <v>530</v>
      </c>
      <c r="D15" s="324" t="s">
        <v>531</v>
      </c>
      <c r="E15" s="323" t="s">
        <v>532</v>
      </c>
    </row>
    <row r="16" spans="1:5" ht="15" customHeight="1" hidden="1">
      <c r="A16" s="325" t="s">
        <v>520</v>
      </c>
      <c r="B16" s="122">
        <v>1</v>
      </c>
      <c r="C16" s="122">
        <v>2</v>
      </c>
      <c r="D16" s="122">
        <v>3</v>
      </c>
      <c r="E16" s="122">
        <v>4</v>
      </c>
    </row>
    <row r="17" spans="1:9" ht="15" customHeight="1">
      <c r="A17" s="334"/>
      <c r="C17" s="326"/>
      <c r="D17" s="101"/>
      <c r="E17" s="326"/>
      <c r="F17" s="2"/>
      <c r="G17" s="2"/>
      <c r="H17" s="3"/>
      <c r="I17" s="2"/>
    </row>
    <row r="19" spans="1:5" ht="39.75" customHeight="1">
      <c r="A19" s="630" t="s">
        <v>186</v>
      </c>
      <c r="B19" s="625"/>
      <c r="C19" s="335">
        <f>IF(D11&gt;0%,E16,IF(D11=0%,D16,IF(AND(D11&lt;0%,D11&gt;-10%),C16,B16)))</f>
        <v>1</v>
      </c>
      <c r="D19" s="336" t="s">
        <v>292</v>
      </c>
      <c r="E19" s="2" t="s">
        <v>576</v>
      </c>
    </row>
    <row r="21" ht="15" customHeight="1"/>
    <row r="22" spans="1:4" ht="19.5" customHeight="1">
      <c r="A22" s="438" t="s">
        <v>328</v>
      </c>
      <c r="B22" s="438"/>
      <c r="C22" s="438"/>
      <c r="D22" s="438"/>
    </row>
    <row r="23" spans="1:4" ht="12">
      <c r="A23" s="39" t="s">
        <v>153</v>
      </c>
      <c r="D23" s="58" t="s">
        <v>154</v>
      </c>
    </row>
    <row r="24" ht="12">
      <c r="A24" s="22" t="s">
        <v>379</v>
      </c>
    </row>
    <row r="25" spans="1:4" ht="12">
      <c r="A25" s="451" t="s">
        <v>457</v>
      </c>
      <c r="B25" s="451"/>
      <c r="C25" s="451"/>
      <c r="D25" s="451"/>
    </row>
    <row r="63" ht="114">
      <c r="A63" s="409" t="s">
        <v>647</v>
      </c>
    </row>
  </sheetData>
  <sheetProtection password="DF64" sheet="1" objects="1" scenarios="1"/>
  <mergeCells count="12">
    <mergeCell ref="A25:D25"/>
    <mergeCell ref="A19:B19"/>
    <mergeCell ref="A22:D22"/>
    <mergeCell ref="A11:C11"/>
    <mergeCell ref="B14:E14"/>
    <mergeCell ref="A13:E13"/>
    <mergeCell ref="A1:D1"/>
    <mergeCell ref="A8:C8"/>
    <mergeCell ref="A9:C9"/>
    <mergeCell ref="A10:C10"/>
    <mergeCell ref="A5:D5"/>
    <mergeCell ref="A6:D6"/>
  </mergeCells>
  <hyperlinks>
    <hyperlink ref="A22" r:id="rId1" display="Cliquez ici pour commencer"/>
    <hyperlink ref="A22:E22" r:id="rId2" display="Cliquez ici pour continuer"/>
    <hyperlink ref="A22:D22" location="'28'!A1" display="Cliquez ici pour continuer"/>
    <hyperlink ref="A23" location="'26'!A1" display="retour"/>
    <hyperlink ref="D23" location="'28'!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28.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26" sqref="D26"/>
    </sheetView>
  </sheetViews>
  <sheetFormatPr defaultColWidth="11.421875" defaultRowHeight="12.75"/>
  <cols>
    <col min="1" max="1" width="55.7109375" style="22" customWidth="1"/>
    <col min="2" max="5" width="21.7109375" style="22" customWidth="1"/>
    <col min="6" max="6" width="12.28125" style="22" bestFit="1" customWidth="1"/>
    <col min="7" max="16384" width="11.421875" style="22" customWidth="1"/>
  </cols>
  <sheetData>
    <row r="1" spans="1:4" ht="34.5" customHeight="1">
      <c r="A1" s="511" t="s">
        <v>617</v>
      </c>
      <c r="B1" s="511"/>
      <c r="C1" s="511"/>
      <c r="D1" s="511"/>
    </row>
    <row r="2" ht="15" customHeight="1"/>
    <row r="3" spans="1:5" ht="29.25" customHeight="1">
      <c r="A3" s="527" t="s">
        <v>385</v>
      </c>
      <c r="B3" s="527"/>
      <c r="C3" s="527"/>
      <c r="D3" s="527"/>
      <c r="E3" s="527"/>
    </row>
    <row r="4" ht="15" customHeight="1" thickBot="1"/>
    <row r="5" spans="1:4" ht="30" customHeight="1">
      <c r="A5" s="494" t="s">
        <v>191</v>
      </c>
      <c r="B5" s="495"/>
      <c r="C5" s="495"/>
      <c r="D5" s="496"/>
    </row>
    <row r="6" spans="1:4" ht="19.5" customHeight="1" thickBot="1">
      <c r="A6" s="629" t="s">
        <v>378</v>
      </c>
      <c r="B6" s="520"/>
      <c r="C6" s="520"/>
      <c r="D6" s="521"/>
    </row>
    <row r="7" ht="15" customHeight="1">
      <c r="A7" s="131"/>
    </row>
    <row r="8" spans="1:4" ht="69.75" customHeight="1">
      <c r="A8" s="631" t="s">
        <v>192</v>
      </c>
      <c r="B8" s="585"/>
      <c r="C8" s="586"/>
      <c r="D8" s="21">
        <v>4</v>
      </c>
    </row>
    <row r="9" ht="15" customHeight="1">
      <c r="A9" s="131"/>
    </row>
    <row r="10" ht="15" customHeight="1">
      <c r="A10" s="131"/>
    </row>
    <row r="11" spans="1:5" ht="15" customHeight="1" hidden="1">
      <c r="A11" s="532" t="s">
        <v>285</v>
      </c>
      <c r="B11" s="518"/>
      <c r="C11" s="518"/>
      <c r="D11" s="518"/>
      <c r="E11" s="518"/>
    </row>
    <row r="12" spans="1:5" ht="15" customHeight="1" hidden="1">
      <c r="A12" s="92"/>
      <c r="B12" s="622" t="s">
        <v>544</v>
      </c>
      <c r="C12" s="623"/>
      <c r="D12" s="623"/>
      <c r="E12" s="623"/>
    </row>
    <row r="13" spans="1:5" s="57" customFormat="1" ht="15" customHeight="1" hidden="1">
      <c r="A13" s="339" t="s">
        <v>538</v>
      </c>
      <c r="B13" s="323" t="s">
        <v>539</v>
      </c>
      <c r="C13" s="323" t="s">
        <v>540</v>
      </c>
      <c r="D13" s="324" t="s">
        <v>541</v>
      </c>
      <c r="E13" s="323" t="s">
        <v>542</v>
      </c>
    </row>
    <row r="14" spans="1:5" ht="15" customHeight="1" hidden="1">
      <c r="A14" s="340" t="s">
        <v>543</v>
      </c>
      <c r="B14" s="122">
        <v>1</v>
      </c>
      <c r="C14" s="122">
        <v>2</v>
      </c>
      <c r="D14" s="122">
        <v>3</v>
      </c>
      <c r="E14" s="122">
        <v>4</v>
      </c>
    </row>
    <row r="15" spans="1:9" ht="15" customHeight="1" hidden="1">
      <c r="A15" s="334"/>
      <c r="C15" s="326"/>
      <c r="D15" s="101"/>
      <c r="E15" s="326"/>
      <c r="F15" s="2"/>
      <c r="G15" s="2"/>
      <c r="H15" s="3"/>
      <c r="I15" s="2"/>
    </row>
    <row r="16" ht="15" customHeight="1" hidden="1">
      <c r="A16" s="132" t="s">
        <v>34</v>
      </c>
    </row>
    <row r="17" ht="12" hidden="1">
      <c r="A17" s="22" t="s">
        <v>298</v>
      </c>
    </row>
    <row r="18" ht="12" hidden="1">
      <c r="A18" s="22" t="s">
        <v>299</v>
      </c>
    </row>
    <row r="19" ht="12" hidden="1">
      <c r="A19" s="22" t="s">
        <v>300</v>
      </c>
    </row>
    <row r="20" ht="12" hidden="1">
      <c r="A20" s="22" t="s">
        <v>301</v>
      </c>
    </row>
    <row r="21" ht="15" customHeight="1"/>
    <row r="22" spans="1:5" ht="41.25" customHeight="1">
      <c r="A22" s="625" t="s">
        <v>193</v>
      </c>
      <c r="B22" s="625"/>
      <c r="C22" s="335">
        <f>IF(D8=1,1,IF(D8=2,2,IF(D8=3,3,IF(D8=4,4,IF(D8&gt;4,"#","")))))</f>
        <v>4</v>
      </c>
      <c r="D22" s="336" t="s">
        <v>292</v>
      </c>
      <c r="E22" s="2" t="s">
        <v>553</v>
      </c>
    </row>
    <row r="23" spans="2:4" ht="15" customHeight="1">
      <c r="B23" s="49"/>
      <c r="C23" s="49"/>
      <c r="D23" s="49"/>
    </row>
    <row r="24" ht="15" customHeight="1"/>
    <row r="25" spans="1:4" ht="19.5" customHeight="1">
      <c r="A25" s="438" t="s">
        <v>536</v>
      </c>
      <c r="B25" s="438"/>
      <c r="C25" s="438"/>
      <c r="D25" s="438"/>
    </row>
    <row r="26" spans="1:4" ht="12">
      <c r="A26" s="39" t="s">
        <v>153</v>
      </c>
      <c r="D26" s="58" t="s">
        <v>154</v>
      </c>
    </row>
    <row r="27" spans="1:4" ht="12">
      <c r="A27" s="451" t="s">
        <v>458</v>
      </c>
      <c r="B27" s="451"/>
      <c r="C27" s="451"/>
      <c r="D27" s="451"/>
    </row>
    <row r="63" ht="88.5">
      <c r="A63" s="409" t="s">
        <v>647</v>
      </c>
    </row>
  </sheetData>
  <sheetProtection password="DF64" sheet="1"/>
  <mergeCells count="10">
    <mergeCell ref="A27:D27"/>
    <mergeCell ref="A22:B22"/>
    <mergeCell ref="A1:D1"/>
    <mergeCell ref="A25:D25"/>
    <mergeCell ref="B12:E12"/>
    <mergeCell ref="A11:E11"/>
    <mergeCell ref="A3:E3"/>
    <mergeCell ref="A5:D5"/>
    <mergeCell ref="A6:D6"/>
    <mergeCell ref="A8:C8"/>
  </mergeCells>
  <dataValidations count="1">
    <dataValidation type="list" allowBlank="1" showInputMessage="1" showErrorMessage="1" promptTitle="Entrez" prompt="votre score&#10;" errorTitle="Erreur saisie !" error="La valeur que vous avez tapée n'est pas valide.&#10;VEUILLEZ ENTRER UN SCORE de 1 à 4.&#10;Pour savoir quel est votre score, répondez à la question ci-contre =&gt;" sqref="D8">
      <formula1>"1,2,3,4"</formula1>
    </dataValidation>
  </dataValidations>
  <hyperlinks>
    <hyperlink ref="A25" r:id="rId1" display="Cliquez ici pour commencer"/>
    <hyperlink ref="A25:D25" location="'29'!A1" display="Cliquez ici pour voir le résultat"/>
    <hyperlink ref="A26" location="'27'!A1" display="retour"/>
    <hyperlink ref="D26" location="'29'!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29.xml><?xml version="1.0" encoding="utf-8"?>
<worksheet xmlns="http://schemas.openxmlformats.org/spreadsheetml/2006/main" xmlns:r="http://schemas.openxmlformats.org/officeDocument/2006/relationships">
  <dimension ref="A1:E63"/>
  <sheetViews>
    <sheetView showGridLines="0" zoomScalePageLayoutView="0" workbookViewId="0" topLeftCell="A1">
      <selection activeCell="E10" sqref="E10"/>
    </sheetView>
  </sheetViews>
  <sheetFormatPr defaultColWidth="11.421875" defaultRowHeight="12.75"/>
  <cols>
    <col min="1" max="1" width="36.7109375" style="22" customWidth="1"/>
    <col min="2" max="5" width="21.7109375" style="22" customWidth="1"/>
    <col min="6" max="16384" width="11.421875" style="22" customWidth="1"/>
  </cols>
  <sheetData>
    <row r="1" spans="1:5" ht="34.5" customHeight="1">
      <c r="A1" s="549" t="s">
        <v>618</v>
      </c>
      <c r="B1" s="550"/>
      <c r="C1" s="550"/>
      <c r="D1" s="550"/>
      <c r="E1" s="550"/>
    </row>
    <row r="2" ht="15" customHeight="1"/>
    <row r="3" ht="15" customHeight="1"/>
    <row r="4" spans="1:5" s="46" customFormat="1" ht="19.5" customHeight="1">
      <c r="A4" s="523" t="s">
        <v>345</v>
      </c>
      <c r="B4" s="523"/>
      <c r="C4" s="523"/>
      <c r="D4" s="341">
        <f>+'22'!B6+'22'!B7+('22'!B8+'22'!B9+'22'!B10)*2+('23'!D13)*2+'24'!C22+('25'!C18)*2+('26'!C21)*2+'27'!C19+('28'!C22)*2</f>
        <v>37</v>
      </c>
      <c r="E4" s="342" t="str">
        <f>CONCATENATE("sur ",D5," points")</f>
        <v>sur 72 points</v>
      </c>
    </row>
    <row r="5" spans="1:5" s="46" customFormat="1" ht="19.5" customHeight="1" hidden="1">
      <c r="A5" s="632" t="s">
        <v>347</v>
      </c>
      <c r="B5" s="632"/>
      <c r="C5" s="632"/>
      <c r="D5" s="343">
        <f>(COUNTA('22'!B6:B7)+COUNTA('22'!B8:B10)*2+COUNTA('24'!C22,'27'!C19)+COUNTA('23'!D13,'25'!C18,'26'!C21,'28'!C22)*2)*4</f>
        <v>72</v>
      </c>
      <c r="E5" s="344" t="s">
        <v>578</v>
      </c>
    </row>
    <row r="6" spans="1:5" s="46" customFormat="1" ht="19.5" customHeight="1">
      <c r="A6" s="523" t="s">
        <v>346</v>
      </c>
      <c r="B6" s="523"/>
      <c r="C6" s="523"/>
      <c r="D6" s="152">
        <f>D4/D5</f>
        <v>0.5138888888888888</v>
      </c>
      <c r="E6" s="106" t="s">
        <v>500</v>
      </c>
    </row>
    <row r="7" ht="15" customHeight="1"/>
    <row r="8" ht="15" customHeight="1"/>
    <row r="9" spans="1:5" ht="19.5" customHeight="1">
      <c r="A9" s="438" t="s">
        <v>328</v>
      </c>
      <c r="B9" s="438"/>
      <c r="C9" s="438"/>
      <c r="D9" s="438"/>
      <c r="E9" s="438"/>
    </row>
    <row r="10" spans="1:5" ht="15" customHeight="1">
      <c r="A10" s="39" t="s">
        <v>153</v>
      </c>
      <c r="E10" s="58" t="s">
        <v>154</v>
      </c>
    </row>
    <row r="11" ht="12">
      <c r="A11" s="22" t="s">
        <v>379</v>
      </c>
    </row>
    <row r="12" spans="1:5" ht="12">
      <c r="A12" s="451" t="s">
        <v>459</v>
      </c>
      <c r="B12" s="451"/>
      <c r="C12" s="451"/>
      <c r="D12" s="451"/>
      <c r="E12" s="451"/>
    </row>
    <row r="15" spans="3:5" ht="12">
      <c r="C15" s="46"/>
      <c r="D15" s="46"/>
      <c r="E15" s="46"/>
    </row>
    <row r="16" spans="3:5" ht="12">
      <c r="C16" s="46"/>
      <c r="D16" s="46"/>
      <c r="E16" s="46"/>
    </row>
    <row r="17" spans="3:5" ht="12">
      <c r="C17" s="46"/>
      <c r="D17" s="46"/>
      <c r="E17" s="46"/>
    </row>
    <row r="18" spans="3:5" ht="12">
      <c r="C18" s="46"/>
      <c r="D18" s="46"/>
      <c r="E18" s="46"/>
    </row>
    <row r="63" ht="114">
      <c r="A63" s="409" t="s">
        <v>647</v>
      </c>
    </row>
  </sheetData>
  <sheetProtection password="DF64" sheet="1"/>
  <mergeCells count="6">
    <mergeCell ref="A12:E12"/>
    <mergeCell ref="A1:E1"/>
    <mergeCell ref="A9:E9"/>
    <mergeCell ref="A6:C6"/>
    <mergeCell ref="A4:C4"/>
    <mergeCell ref="A5:C5"/>
  </mergeCells>
  <hyperlinks>
    <hyperlink ref="A9" r:id="rId1" display="Cliquez ici pour commencer"/>
    <hyperlink ref="A9:E9" location="'30'!A1" display="Cliquez ici pour continuer"/>
    <hyperlink ref="A10" location="'28'!A1" display="retour"/>
    <hyperlink ref="E10" location="'30'!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3.xml><?xml version="1.0" encoding="utf-8"?>
<worksheet xmlns="http://schemas.openxmlformats.org/spreadsheetml/2006/main" xmlns:r="http://schemas.openxmlformats.org/officeDocument/2006/relationships">
  <dimension ref="A1:P63"/>
  <sheetViews>
    <sheetView showGridLines="0" tabSelected="1" zoomScalePageLayoutView="0" workbookViewId="0" topLeftCell="A1">
      <selection activeCell="I4" sqref="I4:P4"/>
    </sheetView>
  </sheetViews>
  <sheetFormatPr defaultColWidth="11.421875" defaultRowHeight="12.75"/>
  <cols>
    <col min="1" max="1" width="20.7109375" style="22" customWidth="1"/>
    <col min="2" max="2" width="9.140625" style="22" customWidth="1"/>
    <col min="3" max="6" width="8.7109375" style="22" customWidth="1"/>
    <col min="7" max="7" width="10.28125" style="22" customWidth="1"/>
    <col min="8" max="8" width="1.7109375" style="22" customWidth="1"/>
    <col min="9" max="16" width="12.7109375" style="22" customWidth="1"/>
    <col min="17" max="16384" width="11.421875" style="22" customWidth="1"/>
  </cols>
  <sheetData>
    <row r="1" spans="1:16" ht="34.5" customHeight="1">
      <c r="A1" s="60"/>
      <c r="B1" s="454" t="s">
        <v>160</v>
      </c>
      <c r="C1" s="454"/>
      <c r="D1" s="454" t="s">
        <v>159</v>
      </c>
      <c r="E1" s="454"/>
      <c r="F1" s="454" t="s">
        <v>158</v>
      </c>
      <c r="G1" s="460"/>
      <c r="I1" s="458" t="s">
        <v>221</v>
      </c>
      <c r="J1" s="459"/>
      <c r="K1" s="459"/>
      <c r="L1" s="459"/>
      <c r="M1" s="459"/>
      <c r="N1" s="459"/>
      <c r="O1" s="459"/>
      <c r="P1" s="459"/>
    </row>
    <row r="2" spans="1:16" ht="39.75" customHeight="1">
      <c r="A2" s="384" t="s">
        <v>83</v>
      </c>
      <c r="B2" s="410">
        <f>(B3*1.2)+(B4*1.07)+(B5*1.1)</f>
        <v>484824.75</v>
      </c>
      <c r="C2" s="411">
        <f>B2/$B$6</f>
        <v>1.0737423814248508</v>
      </c>
      <c r="D2" s="410">
        <f>(D3*1.2)+(D4*1.07)+(D5*1.1)</f>
        <v>507272.75</v>
      </c>
      <c r="E2" s="411">
        <f>D2/$D$6</f>
        <v>1.074530066428293</v>
      </c>
      <c r="F2" s="410">
        <f>(F3*1.2)+(F4*1.07)+(F5*1.1)</f>
        <v>0</v>
      </c>
      <c r="G2" s="412" t="e">
        <f>F2/$F$6</f>
        <v>#DIV/0!</v>
      </c>
      <c r="I2" s="471" t="s">
        <v>463</v>
      </c>
      <c r="J2" s="472"/>
      <c r="K2" s="472"/>
      <c r="L2" s="472"/>
      <c r="M2" s="472"/>
      <c r="N2" s="472"/>
      <c r="O2" s="472"/>
      <c r="P2" s="472"/>
    </row>
    <row r="3" spans="1:16" ht="39.75" customHeight="1">
      <c r="A3" s="61" t="s">
        <v>663</v>
      </c>
      <c r="B3" s="393">
        <v>10000</v>
      </c>
      <c r="C3" s="394">
        <f>+B3/$B$6</f>
        <v>0.0221470207827643</v>
      </c>
      <c r="D3" s="393">
        <v>10000</v>
      </c>
      <c r="E3" s="394">
        <f>+D3/$D$6</f>
        <v>0.021182491399908493</v>
      </c>
      <c r="F3" s="393">
        <v>0</v>
      </c>
      <c r="G3" s="395" t="e">
        <f>+F3/$F$6</f>
        <v>#DIV/0!</v>
      </c>
      <c r="I3" s="419"/>
      <c r="J3" s="420"/>
      <c r="K3" s="420"/>
      <c r="L3" s="420"/>
      <c r="M3" s="420"/>
      <c r="N3" s="420"/>
      <c r="O3" s="420"/>
      <c r="P3" s="420"/>
    </row>
    <row r="4" spans="1:16" ht="45.75" customHeight="1">
      <c r="A4" s="61" t="s">
        <v>634</v>
      </c>
      <c r="B4" s="393">
        <f>1704+56672+369797+362</f>
        <v>428535</v>
      </c>
      <c r="C4" s="394">
        <f>+B4/$B$6</f>
        <v>0.94907735511419</v>
      </c>
      <c r="D4" s="393">
        <f>939+29703+219+12301+390973</f>
        <v>434135</v>
      </c>
      <c r="E4" s="394">
        <f>+D4/$D$6</f>
        <v>0.9196060903899274</v>
      </c>
      <c r="F4" s="393">
        <v>0</v>
      </c>
      <c r="G4" s="395" t="e">
        <f>+F4/$F$6</f>
        <v>#DIV/0!</v>
      </c>
      <c r="I4" s="473" t="s">
        <v>664</v>
      </c>
      <c r="J4" s="473"/>
      <c r="K4" s="473"/>
      <c r="L4" s="473"/>
      <c r="M4" s="473"/>
      <c r="N4" s="473"/>
      <c r="O4" s="473"/>
      <c r="P4" s="473"/>
    </row>
    <row r="5" spans="1:16" ht="39.75" customHeight="1" thickBot="1">
      <c r="A5" s="61" t="s">
        <v>649</v>
      </c>
      <c r="B5" s="393">
        <f>12450+543</f>
        <v>12993</v>
      </c>
      <c r="C5" s="394">
        <f>+B5/$B$6</f>
        <v>0.02877562410304566</v>
      </c>
      <c r="D5" s="393">
        <f>788+26604+561</f>
        <v>27953</v>
      </c>
      <c r="E5" s="394">
        <f>+D5/$D$6</f>
        <v>0.05921141821016421</v>
      </c>
      <c r="F5" s="393">
        <v>0</v>
      </c>
      <c r="G5" s="395" t="e">
        <f>+F5/$F$6</f>
        <v>#DIV/0!</v>
      </c>
      <c r="I5" s="421"/>
      <c r="J5" s="421"/>
      <c r="K5" s="421"/>
      <c r="L5" s="421"/>
      <c r="M5" s="421"/>
      <c r="N5" s="421"/>
      <c r="O5" s="421"/>
      <c r="P5" s="421"/>
    </row>
    <row r="6" spans="1:16" ht="39.75" customHeight="1" thickTop="1">
      <c r="A6" s="385" t="s">
        <v>84</v>
      </c>
      <c r="B6" s="392">
        <f>SUM(B3:B5)</f>
        <v>451528</v>
      </c>
      <c r="C6" s="386">
        <v>1</v>
      </c>
      <c r="D6" s="392">
        <f>SUM(D3:D5)</f>
        <v>472088</v>
      </c>
      <c r="E6" s="386">
        <v>1</v>
      </c>
      <c r="F6" s="392">
        <f>SUM(F3:F5)</f>
        <v>0</v>
      </c>
      <c r="G6" s="387">
        <v>1</v>
      </c>
      <c r="I6" s="461" t="s">
        <v>665</v>
      </c>
      <c r="J6" s="462"/>
      <c r="K6" s="462"/>
      <c r="L6" s="462"/>
      <c r="M6" s="462"/>
      <c r="N6" s="462"/>
      <c r="O6" s="462"/>
      <c r="P6" s="463"/>
    </row>
    <row r="7" spans="1:16" ht="39.75" customHeight="1">
      <c r="A7" s="62" t="s">
        <v>666</v>
      </c>
      <c r="B7" s="396">
        <v>13607</v>
      </c>
      <c r="C7" s="397">
        <f aca="true" t="shared" si="0" ref="C7:C15">B7/$B$6</f>
        <v>0.030135451179107386</v>
      </c>
      <c r="D7" s="396">
        <v>14903</v>
      </c>
      <c r="E7" s="397">
        <f aca="true" t="shared" si="1" ref="E7:E14">D7/$D$6</f>
        <v>0.03156826693328363</v>
      </c>
      <c r="F7" s="396">
        <v>0</v>
      </c>
      <c r="G7" s="398" t="e">
        <f aca="true" t="shared" si="2" ref="G7:G14">F7/$F$6</f>
        <v>#DIV/0!</v>
      </c>
      <c r="I7" s="464"/>
      <c r="J7" s="465"/>
      <c r="K7" s="465"/>
      <c r="L7" s="465"/>
      <c r="M7" s="465"/>
      <c r="N7" s="465"/>
      <c r="O7" s="465"/>
      <c r="P7" s="466"/>
    </row>
    <row r="8" spans="1:16" ht="39.75" customHeight="1">
      <c r="A8" s="384" t="s">
        <v>85</v>
      </c>
      <c r="B8" s="392">
        <f>B6-B7</f>
        <v>437921</v>
      </c>
      <c r="C8" s="386">
        <f t="shared" si="0"/>
        <v>0.9698645488208926</v>
      </c>
      <c r="D8" s="392">
        <f>D6-D7</f>
        <v>457185</v>
      </c>
      <c r="E8" s="386">
        <f t="shared" si="1"/>
        <v>0.9684317330667164</v>
      </c>
      <c r="F8" s="392">
        <f>F6-F7</f>
        <v>0</v>
      </c>
      <c r="G8" s="387" t="e">
        <f t="shared" si="2"/>
        <v>#DIV/0!</v>
      </c>
      <c r="I8" s="464"/>
      <c r="J8" s="465"/>
      <c r="K8" s="465"/>
      <c r="L8" s="465"/>
      <c r="M8" s="465"/>
      <c r="N8" s="465"/>
      <c r="O8" s="465"/>
      <c r="P8" s="466"/>
    </row>
    <row r="9" spans="1:16" ht="39.75" customHeight="1" thickBot="1">
      <c r="A9" s="62" t="s">
        <v>86</v>
      </c>
      <c r="B9" s="393">
        <f>94863-1830+2650-5152</f>
        <v>90531</v>
      </c>
      <c r="C9" s="394">
        <f t="shared" si="0"/>
        <v>0.2004991938484435</v>
      </c>
      <c r="D9" s="393">
        <f>152277-76025-5988</f>
        <v>70264</v>
      </c>
      <c r="E9" s="394">
        <f t="shared" si="1"/>
        <v>0.14883665757231704</v>
      </c>
      <c r="F9" s="393">
        <v>0</v>
      </c>
      <c r="G9" s="395" t="e">
        <f t="shared" si="2"/>
        <v>#DIV/0!</v>
      </c>
      <c r="I9" s="467"/>
      <c r="J9" s="468"/>
      <c r="K9" s="468"/>
      <c r="L9" s="468"/>
      <c r="M9" s="468"/>
      <c r="N9" s="468"/>
      <c r="O9" s="468"/>
      <c r="P9" s="469"/>
    </row>
    <row r="10" spans="1:16" ht="39.75" customHeight="1" thickBot="1" thickTop="1">
      <c r="A10" s="62" t="s">
        <v>87</v>
      </c>
      <c r="B10" s="393">
        <f>64860+4280+2182+5152</f>
        <v>76474</v>
      </c>
      <c r="C10" s="394">
        <f t="shared" si="0"/>
        <v>0.16936712673411172</v>
      </c>
      <c r="D10" s="393">
        <f>64806+2000+4173+5046</f>
        <v>76025</v>
      </c>
      <c r="E10" s="394">
        <f t="shared" si="1"/>
        <v>0.16103989086780432</v>
      </c>
      <c r="F10" s="393">
        <v>0</v>
      </c>
      <c r="G10" s="395" t="e">
        <f t="shared" si="2"/>
        <v>#DIV/0!</v>
      </c>
      <c r="I10" s="470"/>
      <c r="J10" s="470"/>
      <c r="K10" s="470"/>
      <c r="L10" s="470"/>
      <c r="M10" s="470"/>
      <c r="N10" s="470"/>
      <c r="O10" s="470"/>
      <c r="P10" s="470"/>
    </row>
    <row r="11" spans="1:16" ht="39.75" customHeight="1" thickBot="1" thickTop="1">
      <c r="A11" s="384" t="s">
        <v>88</v>
      </c>
      <c r="B11" s="392">
        <f>B8-B9-B10</f>
        <v>270916</v>
      </c>
      <c r="C11" s="386">
        <f t="shared" si="0"/>
        <v>0.5999982282383374</v>
      </c>
      <c r="D11" s="392">
        <f>D8-D9-D10</f>
        <v>310896</v>
      </c>
      <c r="E11" s="386">
        <f t="shared" si="1"/>
        <v>0.658555184626595</v>
      </c>
      <c r="F11" s="392">
        <f>F8-F9-F10</f>
        <v>0</v>
      </c>
      <c r="G11" s="387" t="e">
        <f t="shared" si="2"/>
        <v>#DIV/0!</v>
      </c>
      <c r="I11" s="455" t="s">
        <v>648</v>
      </c>
      <c r="J11" s="456"/>
      <c r="K11" s="456"/>
      <c r="L11" s="456"/>
      <c r="M11" s="456"/>
      <c r="N11" s="456"/>
      <c r="O11" s="456"/>
      <c r="P11" s="457"/>
    </row>
    <row r="12" spans="1:7" ht="39.75" customHeight="1" thickTop="1">
      <c r="A12" s="62" t="s">
        <v>89</v>
      </c>
      <c r="B12" s="393">
        <v>7544</v>
      </c>
      <c r="C12" s="394">
        <f t="shared" si="0"/>
        <v>0.01670771247851739</v>
      </c>
      <c r="D12" s="393">
        <v>15144</v>
      </c>
      <c r="E12" s="394">
        <f t="shared" si="1"/>
        <v>0.03207876497602142</v>
      </c>
      <c r="F12" s="393">
        <v>0</v>
      </c>
      <c r="G12" s="395" t="e">
        <f t="shared" si="2"/>
        <v>#DIV/0!</v>
      </c>
    </row>
    <row r="13" spans="1:7" ht="39.75" customHeight="1">
      <c r="A13" s="62" t="s">
        <v>90</v>
      </c>
      <c r="B13" s="393">
        <f>151728+2500</f>
        <v>154228</v>
      </c>
      <c r="C13" s="394">
        <f t="shared" si="0"/>
        <v>0.3415690721284173</v>
      </c>
      <c r="D13" s="393">
        <v>142162</v>
      </c>
      <c r="E13" s="394">
        <f t="shared" si="1"/>
        <v>0.3011345342393791</v>
      </c>
      <c r="F13" s="393">
        <v>0</v>
      </c>
      <c r="G13" s="395" t="e">
        <f t="shared" si="2"/>
        <v>#DIV/0!</v>
      </c>
    </row>
    <row r="14" spans="1:7" ht="33.75" customHeight="1">
      <c r="A14" s="384" t="s">
        <v>91</v>
      </c>
      <c r="B14" s="392">
        <f>B11-B12-B13</f>
        <v>109144</v>
      </c>
      <c r="C14" s="386">
        <f t="shared" si="0"/>
        <v>0.24172144363140272</v>
      </c>
      <c r="D14" s="392">
        <f>D11-D12-D13</f>
        <v>153590</v>
      </c>
      <c r="E14" s="386">
        <f t="shared" si="1"/>
        <v>0.3253418854111945</v>
      </c>
      <c r="F14" s="392">
        <f>F11-F12-F13</f>
        <v>0</v>
      </c>
      <c r="G14" s="387" t="e">
        <f t="shared" si="2"/>
        <v>#DIV/0!</v>
      </c>
    </row>
    <row r="15" spans="1:7" ht="35.25" customHeight="1" thickBot="1">
      <c r="A15" s="388" t="s">
        <v>635</v>
      </c>
      <c r="B15" s="399">
        <v>54278</v>
      </c>
      <c r="C15" s="400">
        <f t="shared" si="0"/>
        <v>0.12020959940468808</v>
      </c>
      <c r="D15" s="399">
        <v>55059</v>
      </c>
      <c r="E15" s="400">
        <f>D15/$D$6</f>
        <v>0.11662867939875617</v>
      </c>
      <c r="F15" s="399">
        <v>0</v>
      </c>
      <c r="G15" s="401" t="e">
        <f>F15/$F$6</f>
        <v>#DIV/0!</v>
      </c>
    </row>
    <row r="16" spans="1:7" ht="27.75" customHeight="1">
      <c r="A16" s="389"/>
      <c r="B16" s="390"/>
      <c r="C16" s="391"/>
      <c r="D16" s="390"/>
      <c r="E16" s="391"/>
      <c r="F16" s="390"/>
      <c r="G16" s="391"/>
    </row>
    <row r="17" spans="1:16" ht="19.5" customHeight="1">
      <c r="A17" s="438" t="s">
        <v>328</v>
      </c>
      <c r="B17" s="438"/>
      <c r="C17" s="438"/>
      <c r="D17" s="438"/>
      <c r="E17" s="438"/>
      <c r="F17" s="438"/>
      <c r="G17" s="438"/>
      <c r="H17" s="438"/>
      <c r="I17" s="438"/>
      <c r="J17" s="438"/>
      <c r="K17" s="438"/>
      <c r="L17" s="438"/>
      <c r="M17" s="438"/>
      <c r="N17" s="438"/>
      <c r="O17" s="438"/>
      <c r="P17" s="438"/>
    </row>
    <row r="18" spans="1:16" ht="12">
      <c r="A18" s="39" t="s">
        <v>153</v>
      </c>
      <c r="P18" s="58" t="s">
        <v>154</v>
      </c>
    </row>
    <row r="19" spans="1:16" ht="12">
      <c r="A19" s="451" t="s">
        <v>433</v>
      </c>
      <c r="B19" s="451"/>
      <c r="C19" s="451"/>
      <c r="D19" s="451"/>
      <c r="E19" s="451"/>
      <c r="F19" s="451"/>
      <c r="G19" s="451"/>
      <c r="H19" s="451"/>
      <c r="I19" s="451"/>
      <c r="J19" s="451"/>
      <c r="K19" s="451"/>
      <c r="L19" s="451"/>
      <c r="M19" s="451"/>
      <c r="N19" s="451"/>
      <c r="O19" s="451"/>
      <c r="P19" s="451"/>
    </row>
    <row r="26" ht="14.25" customHeight="1"/>
    <row r="33" spans="3:4" ht="12">
      <c r="C33" s="49"/>
      <c r="D33" s="46"/>
    </row>
    <row r="34" ht="12">
      <c r="A34" s="63"/>
    </row>
    <row r="63" ht="176.25">
      <c r="A63" s="409" t="s">
        <v>647</v>
      </c>
    </row>
  </sheetData>
  <sheetProtection password="DF64" sheet="1" objects="1" scenarios="1"/>
  <mergeCells count="11">
    <mergeCell ref="I4:P4"/>
    <mergeCell ref="A17:P17"/>
    <mergeCell ref="A19:P19"/>
    <mergeCell ref="B1:C1"/>
    <mergeCell ref="I11:P11"/>
    <mergeCell ref="I1:P1"/>
    <mergeCell ref="D1:E1"/>
    <mergeCell ref="F1:G1"/>
    <mergeCell ref="I6:P9"/>
    <mergeCell ref="I10:P10"/>
    <mergeCell ref="I2:P2"/>
  </mergeCells>
  <conditionalFormatting sqref="B2:G16">
    <cfRule type="cellIs" priority="1" dxfId="0" operator="lessThan" stopIfTrue="1">
      <formula>0</formula>
    </cfRule>
  </conditionalFormatting>
  <hyperlinks>
    <hyperlink ref="A17" r:id="rId1" display="Cliquez ici pour commencer"/>
    <hyperlink ref="A17:F17" r:id="rId2" display="Cliquez ici pour commencer"/>
    <hyperlink ref="A17:G17" r:id="rId3" display="Cliquez ici pour continuer"/>
    <hyperlink ref="A17:P17" location="'4'!A1" display="Cliquez ici pour continuer"/>
    <hyperlink ref="A18" location="'2'!A1" display="retour"/>
    <hyperlink ref="P18" location="'4'!A1" display="suivant"/>
    <hyperlink ref="I11:P11" r:id="rId4" display="COMMENT APPLIQUER LA TVA DANS LES CHR DEPUIS LE 1er JANVIER 2014"/>
  </hyperlinks>
  <printOptions horizontalCentered="1"/>
  <pageMargins left="0.7874015748031497" right="0.7874015748031497" top="0.5905511811023623" bottom="0.5905511811023623" header="0.31496062992125984" footer="0.31496062992125984"/>
  <pageSetup horizontalDpi="600" verticalDpi="600" orientation="landscape" paperSize="9" scale="93" r:id="rId5"/>
  <headerFooter alignWithMargins="0">
    <oddHeader>&amp;CFeuille &amp;A / 31 pages</oddHeader>
    <oddFooter>&amp;LEVALUER UN HÔTEL BUREAU 
AVEC LE NEGHOSCORE&amp;C&amp;D&amp;R
&amp;F</oddFooter>
  </headerFooter>
</worksheet>
</file>

<file path=xl/worksheets/sheet30.xml><?xml version="1.0" encoding="utf-8"?>
<worksheet xmlns="http://schemas.openxmlformats.org/spreadsheetml/2006/main" xmlns:r="http://schemas.openxmlformats.org/officeDocument/2006/relationships">
  <dimension ref="A1:K63"/>
  <sheetViews>
    <sheetView showGridLines="0" zoomScalePageLayoutView="0" workbookViewId="0" topLeftCell="A22">
      <selection activeCell="H42" sqref="H42"/>
    </sheetView>
  </sheetViews>
  <sheetFormatPr defaultColWidth="11.421875" defaultRowHeight="12.75"/>
  <cols>
    <col min="1" max="1" width="11.421875" style="22" customWidth="1"/>
    <col min="2" max="2" width="30.7109375" style="22" customWidth="1"/>
    <col min="3" max="3" width="15.7109375" style="22" customWidth="1"/>
    <col min="4" max="6" width="20.7109375" style="22" customWidth="1"/>
    <col min="7" max="7" width="1.7109375" style="22" customWidth="1"/>
    <col min="8" max="16384" width="11.421875" style="22" customWidth="1"/>
  </cols>
  <sheetData>
    <row r="1" spans="1:8" ht="34.5" customHeight="1">
      <c r="A1" s="642" t="s">
        <v>398</v>
      </c>
      <c r="B1" s="642"/>
      <c r="C1" s="642"/>
      <c r="D1" s="642"/>
      <c r="E1" s="642"/>
      <c r="F1" s="642"/>
      <c r="G1" s="642"/>
      <c r="H1" s="642"/>
    </row>
    <row r="2" ht="15" customHeight="1"/>
    <row r="3" spans="1:8" ht="15" customHeight="1">
      <c r="A3" s="643"/>
      <c r="B3" s="644"/>
      <c r="C3" s="644"/>
      <c r="D3" s="644"/>
      <c r="E3" s="644"/>
      <c r="F3" s="644"/>
      <c r="G3" s="644"/>
      <c r="H3" s="644"/>
    </row>
    <row r="4" spans="1:8" s="155" customFormat="1" ht="15" customHeight="1">
      <c r="A4" s="643" t="s">
        <v>386</v>
      </c>
      <c r="B4" s="643"/>
      <c r="C4" s="643"/>
      <c r="D4" s="643"/>
      <c r="E4" s="643"/>
      <c r="F4" s="643"/>
      <c r="G4" s="643"/>
      <c r="H4" s="643"/>
    </row>
    <row r="5" ht="15" customHeight="1"/>
    <row r="6" spans="2:8" ht="15" customHeight="1">
      <c r="B6" s="645" t="s">
        <v>630</v>
      </c>
      <c r="C6" s="646"/>
      <c r="D6" s="646"/>
      <c r="E6" s="646"/>
      <c r="F6" s="646"/>
      <c r="G6" s="647"/>
      <c r="H6" s="311"/>
    </row>
    <row r="7" spans="2:8" ht="15" customHeight="1">
      <c r="B7" s="345"/>
      <c r="C7" s="346"/>
      <c r="D7" s="346"/>
      <c r="E7" s="346"/>
      <c r="F7" s="346"/>
      <c r="G7" s="347"/>
      <c r="H7" s="311"/>
    </row>
    <row r="8" spans="2:8" ht="24.75" customHeight="1">
      <c r="B8" s="345"/>
      <c r="C8" s="346"/>
      <c r="D8" s="346"/>
      <c r="E8" s="346"/>
      <c r="F8" s="346"/>
      <c r="G8" s="347"/>
      <c r="H8" s="311"/>
    </row>
    <row r="9" spans="2:8" ht="24.75" customHeight="1">
      <c r="B9" s="345"/>
      <c r="C9" s="346"/>
      <c r="D9" s="346"/>
      <c r="E9" s="346"/>
      <c r="F9" s="346"/>
      <c r="G9" s="347"/>
      <c r="H9" s="311"/>
    </row>
    <row r="10" spans="2:8" ht="24.75" customHeight="1">
      <c r="B10" s="345"/>
      <c r="C10" s="346"/>
      <c r="D10" s="346"/>
      <c r="E10" s="346"/>
      <c r="F10" s="346"/>
      <c r="G10" s="347"/>
      <c r="H10" s="311"/>
    </row>
    <row r="11" spans="2:8" ht="24.75" customHeight="1">
      <c r="B11" s="345"/>
      <c r="C11" s="346"/>
      <c r="D11" s="346"/>
      <c r="E11" s="346"/>
      <c r="F11" s="346"/>
      <c r="G11" s="347"/>
      <c r="H11" s="311"/>
    </row>
    <row r="12" spans="2:8" ht="24.75" customHeight="1">
      <c r="B12" s="345"/>
      <c r="C12" s="346"/>
      <c r="D12" s="346"/>
      <c r="E12" s="346"/>
      <c r="F12" s="346"/>
      <c r="G12" s="347"/>
      <c r="H12" s="311"/>
    </row>
    <row r="13" spans="2:8" ht="24.75" customHeight="1">
      <c r="B13" s="345"/>
      <c r="C13" s="346"/>
      <c r="D13" s="346"/>
      <c r="E13" s="346"/>
      <c r="F13" s="346"/>
      <c r="G13" s="347"/>
      <c r="H13" s="311"/>
    </row>
    <row r="14" spans="2:8" ht="24.75" customHeight="1">
      <c r="B14" s="345"/>
      <c r="C14" s="346"/>
      <c r="D14" s="346"/>
      <c r="E14" s="346"/>
      <c r="F14" s="346"/>
      <c r="G14" s="347"/>
      <c r="H14" s="311"/>
    </row>
    <row r="15" spans="2:8" ht="24.75" customHeight="1">
      <c r="B15" s="345"/>
      <c r="C15" s="346"/>
      <c r="D15" s="346"/>
      <c r="E15" s="346"/>
      <c r="F15" s="346"/>
      <c r="G15" s="347"/>
      <c r="H15" s="311"/>
    </row>
    <row r="16" spans="2:8" ht="24.75" customHeight="1">
      <c r="B16" s="345"/>
      <c r="C16" s="346"/>
      <c r="D16" s="346"/>
      <c r="E16" s="346"/>
      <c r="F16" s="346"/>
      <c r="G16" s="347"/>
      <c r="H16" s="311"/>
    </row>
    <row r="17" spans="2:8" ht="24.75" customHeight="1">
      <c r="B17" s="345"/>
      <c r="C17" s="346"/>
      <c r="D17" s="346"/>
      <c r="E17" s="346"/>
      <c r="F17" s="346"/>
      <c r="G17" s="347"/>
      <c r="H17" s="311"/>
    </row>
    <row r="18" spans="2:8" ht="24.75" customHeight="1">
      <c r="B18" s="345"/>
      <c r="C18" s="346"/>
      <c r="D18" s="346"/>
      <c r="E18" s="346"/>
      <c r="F18" s="346"/>
      <c r="G18" s="347"/>
      <c r="H18" s="311"/>
    </row>
    <row r="19" spans="2:8" ht="24.75" customHeight="1">
      <c r="B19" s="345"/>
      <c r="C19" s="346"/>
      <c r="D19" s="346"/>
      <c r="E19" s="346"/>
      <c r="F19" s="346"/>
      <c r="G19" s="347"/>
      <c r="H19" s="311"/>
    </row>
    <row r="20" spans="2:8" ht="24.75" customHeight="1">
      <c r="B20" s="345"/>
      <c r="C20" s="346"/>
      <c r="D20" s="346"/>
      <c r="E20" s="346"/>
      <c r="F20" s="346"/>
      <c r="G20" s="347"/>
      <c r="H20" s="311"/>
    </row>
    <row r="21" spans="2:8" ht="24.75" customHeight="1">
      <c r="B21" s="348"/>
      <c r="C21" s="249"/>
      <c r="D21" s="249"/>
      <c r="E21" s="249"/>
      <c r="F21" s="249"/>
      <c r="G21" s="349"/>
      <c r="H21" s="311"/>
    </row>
    <row r="22" spans="2:7" ht="15" customHeight="1">
      <c r="B22" s="648"/>
      <c r="C22" s="648"/>
      <c r="D22" s="648"/>
      <c r="E22" s="648"/>
      <c r="F22" s="648"/>
      <c r="G22" s="648"/>
    </row>
    <row r="23" spans="1:7" ht="25.5" customHeight="1">
      <c r="A23" s="350"/>
      <c r="B23" s="633" t="s">
        <v>551</v>
      </c>
      <c r="C23" s="634"/>
      <c r="D23" s="351" t="s">
        <v>303</v>
      </c>
      <c r="E23" s="351" t="s">
        <v>304</v>
      </c>
      <c r="F23" s="351" t="s">
        <v>305</v>
      </c>
      <c r="G23" s="352" t="s">
        <v>633</v>
      </c>
    </row>
    <row r="24" spans="1:7" ht="32.25" customHeight="1">
      <c r="A24" s="350"/>
      <c r="B24" s="635" t="s">
        <v>554</v>
      </c>
      <c r="C24" s="636"/>
      <c r="D24" s="355">
        <f>'15'!D5</f>
        <v>36</v>
      </c>
      <c r="E24" s="355">
        <f>'15'!D4</f>
        <v>29</v>
      </c>
      <c r="F24" s="356">
        <f>'15'!D6</f>
        <v>0.8055555555555556</v>
      </c>
      <c r="G24" s="357" t="s">
        <v>307</v>
      </c>
    </row>
    <row r="25" spans="1:11" ht="30.75" customHeight="1">
      <c r="A25" s="350"/>
      <c r="B25" s="635" t="s">
        <v>555</v>
      </c>
      <c r="C25" s="636"/>
      <c r="D25" s="355">
        <f>'18'!D5</f>
        <v>180</v>
      </c>
      <c r="E25" s="355">
        <f>'18'!D4</f>
        <v>98</v>
      </c>
      <c r="F25" s="356">
        <f>'18'!D6</f>
        <v>0.5444444444444444</v>
      </c>
      <c r="G25" s="357" t="s">
        <v>308</v>
      </c>
      <c r="H25" s="650"/>
      <c r="I25" s="650"/>
      <c r="J25" s="650"/>
      <c r="K25" s="383"/>
    </row>
    <row r="26" spans="1:7" ht="31.5" customHeight="1">
      <c r="A26" s="350"/>
      <c r="B26" s="635" t="s">
        <v>556</v>
      </c>
      <c r="C26" s="636"/>
      <c r="D26" s="355">
        <f>'21'!D5</f>
        <v>100</v>
      </c>
      <c r="E26" s="355">
        <f>'21'!D4</f>
        <v>63</v>
      </c>
      <c r="F26" s="356">
        <f>'21'!D6</f>
        <v>0.63</v>
      </c>
      <c r="G26" s="357" t="s">
        <v>309</v>
      </c>
    </row>
    <row r="27" spans="1:7" ht="33.75" customHeight="1">
      <c r="A27" s="350"/>
      <c r="B27" s="658" t="s">
        <v>557</v>
      </c>
      <c r="C27" s="659"/>
      <c r="D27" s="355">
        <f>'29'!D5</f>
        <v>72</v>
      </c>
      <c r="E27" s="355">
        <f>'29'!D4</f>
        <v>37</v>
      </c>
      <c r="F27" s="356">
        <f>'29'!D6</f>
        <v>0.5138888888888888</v>
      </c>
      <c r="G27" s="357" t="s">
        <v>307</v>
      </c>
    </row>
    <row r="28" spans="1:7" ht="34.5" customHeight="1">
      <c r="A28" s="350"/>
      <c r="B28" s="649" t="s">
        <v>110</v>
      </c>
      <c r="C28" s="649"/>
      <c r="D28" s="355">
        <f>SUM(D24:D27)</f>
        <v>388</v>
      </c>
      <c r="E28" s="355">
        <f>SUM(E24:E27)</f>
        <v>227</v>
      </c>
      <c r="F28" s="356">
        <f>E28/D28</f>
        <v>0.5850515463917526</v>
      </c>
      <c r="G28" s="358"/>
    </row>
    <row r="29" spans="1:7" ht="32.25" customHeight="1" hidden="1">
      <c r="A29" s="350"/>
      <c r="B29" s="637" t="s">
        <v>631</v>
      </c>
      <c r="C29" s="637"/>
      <c r="D29" s="638">
        <f>((E24+(E25*3)+(E26*2)+E27)/7)/100</f>
        <v>0.6942857142857143</v>
      </c>
      <c r="E29" s="639"/>
      <c r="F29" s="640"/>
      <c r="G29" s="359"/>
    </row>
    <row r="30" spans="1:7" ht="44.25" customHeight="1" hidden="1">
      <c r="A30" s="350"/>
      <c r="B30" s="553" t="s">
        <v>310</v>
      </c>
      <c r="C30" s="553"/>
      <c r="D30" s="652">
        <f>D29*3</f>
        <v>2.0828571428571427</v>
      </c>
      <c r="E30" s="653"/>
      <c r="F30" s="654"/>
      <c r="G30" s="360"/>
    </row>
    <row r="31" spans="1:10" ht="39.75" customHeight="1">
      <c r="A31" s="350"/>
      <c r="B31" s="651" t="s">
        <v>311</v>
      </c>
      <c r="C31" s="651"/>
      <c r="D31" s="655">
        <f>4!D5*D30</f>
        <v>1025406.0192857143</v>
      </c>
      <c r="E31" s="656"/>
      <c r="F31" s="657"/>
      <c r="G31" s="361"/>
      <c r="H31" s="382"/>
      <c r="I31" s="382"/>
      <c r="J31" s="382"/>
    </row>
    <row r="32" spans="1:7" ht="56.25" customHeight="1">
      <c r="A32" s="350"/>
      <c r="B32" s="641" t="str">
        <f>IF(OR('17'!B6=1,'17'!B7=1,'17'!B8=1)=TRUE,"ATTENTION,
ce prix doit être diminué du montant estimé des travaux                                                  pour la mise aux normes 2011 et ou 2015."," ")</f>
        <v> </v>
      </c>
      <c r="C32" s="641"/>
      <c r="D32" s="641"/>
      <c r="E32" s="641"/>
      <c r="F32" s="641"/>
      <c r="G32" s="350"/>
    </row>
    <row r="33" spans="2:7" ht="15" customHeight="1" hidden="1">
      <c r="B33" s="362" t="s">
        <v>552</v>
      </c>
      <c r="C33" s="24"/>
      <c r="D33" s="24"/>
      <c r="E33" s="24"/>
      <c r="F33" s="24"/>
      <c r="G33" s="24"/>
    </row>
    <row r="34" spans="2:8" ht="15" customHeight="1" hidden="1">
      <c r="B34" s="24" t="s">
        <v>546</v>
      </c>
      <c r="C34" s="24"/>
      <c r="D34" s="24"/>
      <c r="E34" s="24"/>
      <c r="F34" s="24"/>
      <c r="G34" s="24"/>
      <c r="H34" s="24"/>
    </row>
    <row r="35" spans="2:8" ht="15" customHeight="1" hidden="1">
      <c r="B35" s="24" t="s">
        <v>315</v>
      </c>
      <c r="C35" s="24"/>
      <c r="D35" s="24"/>
      <c r="E35" s="24"/>
      <c r="F35" s="24"/>
      <c r="G35" s="24"/>
      <c r="H35" s="24"/>
    </row>
    <row r="36" spans="2:8" ht="15" customHeight="1" hidden="1">
      <c r="B36" s="24" t="s">
        <v>547</v>
      </c>
      <c r="C36" s="24"/>
      <c r="D36" s="24"/>
      <c r="E36" s="24"/>
      <c r="F36" s="24"/>
      <c r="G36" s="24"/>
      <c r="H36" s="24"/>
    </row>
    <row r="37" spans="2:8" ht="15" customHeight="1" hidden="1">
      <c r="B37" s="24" t="s">
        <v>548</v>
      </c>
      <c r="C37" s="24"/>
      <c r="D37" s="24"/>
      <c r="E37" s="24"/>
      <c r="F37" s="24"/>
      <c r="G37" s="24"/>
      <c r="H37" s="24"/>
    </row>
    <row r="38" spans="2:7" ht="15" customHeight="1" hidden="1">
      <c r="B38" s="24" t="s">
        <v>549</v>
      </c>
      <c r="C38" s="24"/>
      <c r="D38" s="24"/>
      <c r="E38" s="24"/>
      <c r="F38" s="24"/>
      <c r="G38" s="24"/>
    </row>
    <row r="39" spans="2:8" ht="15" customHeight="1" hidden="1">
      <c r="B39" s="24" t="s">
        <v>550</v>
      </c>
      <c r="C39" s="24"/>
      <c r="D39" s="24"/>
      <c r="E39" s="24"/>
      <c r="F39" s="24"/>
      <c r="G39" s="24"/>
      <c r="H39" s="24"/>
    </row>
    <row r="40" ht="15" customHeight="1" hidden="1"/>
    <row r="41" spans="1:8" ht="19.5" customHeight="1">
      <c r="A41" s="438" t="s">
        <v>545</v>
      </c>
      <c r="B41" s="438"/>
      <c r="C41" s="438"/>
      <c r="D41" s="438"/>
      <c r="E41" s="438"/>
      <c r="F41" s="438"/>
      <c r="G41" s="438"/>
      <c r="H41" s="438"/>
    </row>
    <row r="42" spans="1:8" ht="12">
      <c r="A42" s="39" t="s">
        <v>153</v>
      </c>
      <c r="H42" s="58" t="s">
        <v>154</v>
      </c>
    </row>
    <row r="43" ht="12">
      <c r="A43" s="22" t="s">
        <v>379</v>
      </c>
    </row>
    <row r="44" spans="1:8" ht="12">
      <c r="A44" s="451" t="s">
        <v>460</v>
      </c>
      <c r="B44" s="451"/>
      <c r="C44" s="451"/>
      <c r="D44" s="451"/>
      <c r="E44" s="451"/>
      <c r="F44" s="451"/>
      <c r="G44" s="451"/>
      <c r="H44" s="451"/>
    </row>
    <row r="63" ht="339">
      <c r="A63" s="409" t="s">
        <v>647</v>
      </c>
    </row>
  </sheetData>
  <sheetProtection password="DF64" sheet="1"/>
  <mergeCells count="21">
    <mergeCell ref="B27:C27"/>
    <mergeCell ref="B22:G22"/>
    <mergeCell ref="B28:C28"/>
    <mergeCell ref="B24:C24"/>
    <mergeCell ref="H25:J25"/>
    <mergeCell ref="A44:H44"/>
    <mergeCell ref="A41:H41"/>
    <mergeCell ref="B30:C30"/>
    <mergeCell ref="B31:C31"/>
    <mergeCell ref="D30:F30"/>
    <mergeCell ref="D31:F31"/>
    <mergeCell ref="B23:C23"/>
    <mergeCell ref="B25:C25"/>
    <mergeCell ref="B29:C29"/>
    <mergeCell ref="D29:F29"/>
    <mergeCell ref="B32:F32"/>
    <mergeCell ref="A1:H1"/>
    <mergeCell ref="A3:H3"/>
    <mergeCell ref="A4:H4"/>
    <mergeCell ref="B6:G6"/>
    <mergeCell ref="B26:C26"/>
  </mergeCells>
  <hyperlinks>
    <hyperlink ref="A41" r:id="rId1" display="Cliquez ici pour commencer"/>
    <hyperlink ref="A41:E41" r:id="rId2" display="Cliquez ici pour voir le résultat final"/>
    <hyperlink ref="A41:H41" location="'31 - RESULTAT'!A1" display="Cliquez ici pour voir le résultat final"/>
    <hyperlink ref="A42" location="'29'!A1" display="retour"/>
    <hyperlink ref="H42" location="'31 - RESULTAT'!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drawing r:id="rId3"/>
</worksheet>
</file>

<file path=xl/worksheets/sheet31.xml><?xml version="1.0" encoding="utf-8"?>
<worksheet xmlns="http://schemas.openxmlformats.org/spreadsheetml/2006/main" xmlns:r="http://schemas.openxmlformats.org/officeDocument/2006/relationships">
  <dimension ref="A1:H50"/>
  <sheetViews>
    <sheetView showGridLines="0" zoomScalePageLayoutView="0" workbookViewId="0" topLeftCell="A28">
      <selection activeCell="A44" sqref="A44:G44"/>
    </sheetView>
  </sheetViews>
  <sheetFormatPr defaultColWidth="11.421875" defaultRowHeight="12.75"/>
  <cols>
    <col min="1" max="5" width="20.7109375" style="22" customWidth="1"/>
    <col min="6" max="6" width="24.57421875" style="22" bestFit="1" customWidth="1"/>
    <col min="7" max="7" width="22.140625" style="22" customWidth="1"/>
    <col min="8" max="8" width="24.57421875" style="22" customWidth="1"/>
    <col min="9" max="16384" width="11.421875" style="22" customWidth="1"/>
  </cols>
  <sheetData>
    <row r="1" spans="1:7" ht="39.75" customHeight="1">
      <c r="A1" s="363"/>
      <c r="B1" s="364" t="s">
        <v>387</v>
      </c>
      <c r="C1" s="365"/>
      <c r="D1" s="365"/>
      <c r="E1" s="365"/>
      <c r="F1" s="365"/>
      <c r="G1" s="365"/>
    </row>
    <row r="2" spans="1:7" ht="48" customHeight="1">
      <c r="A2" s="363"/>
      <c r="B2" s="366" t="s">
        <v>399</v>
      </c>
      <c r="C2" s="713">
        <f>ROUND(D8,0)</f>
        <v>954734</v>
      </c>
      <c r="D2" s="713"/>
      <c r="E2" s="713"/>
      <c r="F2" s="691" t="str">
        <f>IF(OR('17'!B6=1,'17'!B7=1,'17'!B8=1)=TRUE,"ATTENTION,
ce prix doit être diminué du montant estimé des travaux pour la mise aux normes                               2011 et ou 2015."," ")</f>
        <v> </v>
      </c>
      <c r="G2" s="691"/>
    </row>
    <row r="3" spans="1:7" ht="9" customHeight="1">
      <c r="A3" s="363"/>
      <c r="B3" s="367"/>
      <c r="C3" s="367"/>
      <c r="D3" s="367"/>
      <c r="E3" s="367"/>
      <c r="F3" s="363"/>
      <c r="G3" s="367"/>
    </row>
    <row r="4" spans="2:4" ht="60" customHeight="1">
      <c r="B4" s="368" t="s">
        <v>392</v>
      </c>
      <c r="C4" s="369"/>
      <c r="D4" s="369"/>
    </row>
    <row r="5" spans="1:7" ht="34.5" customHeight="1">
      <c r="A5" s="370" t="s">
        <v>388</v>
      </c>
      <c r="B5" s="692" t="s">
        <v>314</v>
      </c>
      <c r="C5" s="693"/>
      <c r="D5" s="693"/>
      <c r="E5" s="693"/>
      <c r="F5" s="694"/>
      <c r="G5" s="350"/>
    </row>
    <row r="6" spans="1:7" ht="51.75" customHeight="1">
      <c r="A6" s="350"/>
      <c r="B6" s="704" t="s">
        <v>558</v>
      </c>
      <c r="C6" s="704"/>
      <c r="D6" s="708">
        <f>7!E8</f>
        <v>884061.8616190476</v>
      </c>
      <c r="E6" s="708"/>
      <c r="F6" s="708"/>
      <c r="G6" s="350"/>
    </row>
    <row r="7" spans="1:7" ht="54.75" customHeight="1">
      <c r="A7" s="350"/>
      <c r="B7" s="709" t="s">
        <v>559</v>
      </c>
      <c r="C7" s="709"/>
      <c r="D7" s="676">
        <f>'30'!D31</f>
        <v>1025406.0192857143</v>
      </c>
      <c r="E7" s="676"/>
      <c r="F7" s="676"/>
      <c r="G7" s="675" t="str">
        <f>IF(OR('17'!B6=1,'17'!B7=1,'17'!B8=1)=TRUE,"ATTENTION,
ce prix doit être diminué du montant estimé des travaux pour la mise aux normes 2011 et ou 2015."," ")</f>
        <v> </v>
      </c>
    </row>
    <row r="8" spans="1:8" ht="52.5" customHeight="1">
      <c r="A8" s="350"/>
      <c r="B8" s="714" t="s">
        <v>313</v>
      </c>
      <c r="C8" s="714"/>
      <c r="D8" s="715">
        <f>(+D6+D7)/2</f>
        <v>954733.9404523809</v>
      </c>
      <c r="E8" s="715"/>
      <c r="F8" s="715"/>
      <c r="G8" s="675"/>
      <c r="H8" s="408"/>
    </row>
    <row r="9" spans="1:7" ht="15" customHeight="1">
      <c r="A9" s="350"/>
      <c r="B9" s="350"/>
      <c r="C9" s="350"/>
      <c r="D9" s="350"/>
      <c r="E9" s="350"/>
      <c r="F9" s="350"/>
      <c r="G9" s="350"/>
    </row>
    <row r="10" spans="2:7" ht="15" customHeight="1">
      <c r="B10" s="371"/>
      <c r="C10" s="350"/>
      <c r="D10" s="350"/>
      <c r="E10" s="350"/>
      <c r="F10" s="350"/>
      <c r="G10" s="350"/>
    </row>
    <row r="11" spans="1:7" ht="34.5" customHeight="1">
      <c r="A11" s="32" t="s">
        <v>390</v>
      </c>
      <c r="B11" s="705" t="s">
        <v>389</v>
      </c>
      <c r="C11" s="706"/>
      <c r="D11" s="706"/>
      <c r="E11" s="706"/>
      <c r="F11" s="707"/>
      <c r="G11" s="350"/>
    </row>
    <row r="12" spans="1:7" ht="30" customHeight="1">
      <c r="A12" s="350"/>
      <c r="B12" s="372" t="str">
        <f>7!A4</f>
        <v>Méthode "hôtelière"</v>
      </c>
      <c r="C12" s="373">
        <f>7!C4:D4</f>
        <v>1083076.316666667</v>
      </c>
      <c r="D12" s="695">
        <f>7!E4</f>
        <v>869061.8616190476</v>
      </c>
      <c r="E12" s="696"/>
      <c r="F12" s="697"/>
      <c r="G12" s="350"/>
    </row>
    <row r="13" spans="1:7" ht="30" customHeight="1">
      <c r="A13" s="350"/>
      <c r="B13" s="372" t="str">
        <f>7!A5</f>
        <v>Méthode "rentabilité économique"</v>
      </c>
      <c r="C13" s="373">
        <f>7!C5:D5</f>
        <v>619796.6666666666</v>
      </c>
      <c r="D13" s="698"/>
      <c r="E13" s="699"/>
      <c r="F13" s="700"/>
      <c r="G13" s="350"/>
    </row>
    <row r="14" spans="1:7" ht="30" customHeight="1">
      <c r="A14" s="350"/>
      <c r="B14" s="372" t="str">
        <f>7!A6</f>
        <v>Méthode "capacité d'emprunt"</v>
      </c>
      <c r="C14" s="373">
        <f>7!C6:D6</f>
        <v>1011319.829047619</v>
      </c>
      <c r="D14" s="701"/>
      <c r="E14" s="702"/>
      <c r="F14" s="703"/>
      <c r="G14" s="350"/>
    </row>
    <row r="15" spans="1:7" ht="30" customHeight="1">
      <c r="A15" s="350"/>
      <c r="B15" s="680" t="str">
        <f>+7!C7</f>
        <v>LICENCE IV</v>
      </c>
      <c r="C15" s="681"/>
      <c r="D15" s="660">
        <f>+7!E7</f>
        <v>15000</v>
      </c>
      <c r="E15" s="661"/>
      <c r="F15" s="662"/>
      <c r="G15" s="350"/>
    </row>
    <row r="16" spans="1:7" ht="34.5" customHeight="1">
      <c r="A16" s="371"/>
      <c r="B16" s="669" t="s">
        <v>135</v>
      </c>
      <c r="C16" s="669"/>
      <c r="D16" s="668">
        <f>+D12+D15</f>
        <v>884061.8616190476</v>
      </c>
      <c r="E16" s="668"/>
      <c r="F16" s="668"/>
      <c r="G16" s="350"/>
    </row>
    <row r="17" spans="1:7" ht="15" customHeight="1">
      <c r="A17" s="350"/>
      <c r="B17" s="374"/>
      <c r="C17" s="374"/>
      <c r="D17" s="374"/>
      <c r="E17" s="374"/>
      <c r="F17" s="374"/>
      <c r="G17" s="350"/>
    </row>
    <row r="18" spans="2:7" ht="15" customHeight="1">
      <c r="B18" s="350"/>
      <c r="C18" s="350"/>
      <c r="D18" s="350"/>
      <c r="E18" s="350"/>
      <c r="F18" s="350"/>
      <c r="G18" s="350"/>
    </row>
    <row r="19" spans="1:7" ht="34.5" customHeight="1">
      <c r="A19" s="370" t="s">
        <v>391</v>
      </c>
      <c r="B19" s="665" t="s">
        <v>312</v>
      </c>
      <c r="C19" s="666"/>
      <c r="D19" s="666"/>
      <c r="E19" s="666"/>
      <c r="F19" s="667"/>
      <c r="G19" s="361"/>
    </row>
    <row r="20" spans="2:7" ht="30" customHeight="1">
      <c r="B20" s="156" t="s">
        <v>21</v>
      </c>
      <c r="C20" s="157"/>
      <c r="D20" s="351" t="s">
        <v>303</v>
      </c>
      <c r="E20" s="351" t="s">
        <v>304</v>
      </c>
      <c r="F20" s="351" t="s">
        <v>305</v>
      </c>
      <c r="G20" s="352" t="s">
        <v>632</v>
      </c>
    </row>
    <row r="21" spans="2:7" ht="30" customHeight="1">
      <c r="B21" s="635" t="s">
        <v>554</v>
      </c>
      <c r="C21" s="636"/>
      <c r="D21" s="355">
        <f>+'30'!D24</f>
        <v>36</v>
      </c>
      <c r="E21" s="355">
        <f>'30'!E24</f>
        <v>29</v>
      </c>
      <c r="F21" s="356">
        <f>+'30'!F24</f>
        <v>0.8055555555555556</v>
      </c>
      <c r="G21" s="357" t="s">
        <v>307</v>
      </c>
    </row>
    <row r="22" spans="2:7" ht="30" customHeight="1">
      <c r="B22" s="635" t="s">
        <v>555</v>
      </c>
      <c r="C22" s="636"/>
      <c r="D22" s="355">
        <f>+'30'!D25</f>
        <v>180</v>
      </c>
      <c r="E22" s="355">
        <f>'30'!E25</f>
        <v>98</v>
      </c>
      <c r="F22" s="356">
        <f>+'30'!F25</f>
        <v>0.5444444444444444</v>
      </c>
      <c r="G22" s="357" t="s">
        <v>308</v>
      </c>
    </row>
    <row r="23" spans="2:7" ht="30" customHeight="1">
      <c r="B23" s="635" t="s">
        <v>556</v>
      </c>
      <c r="C23" s="636"/>
      <c r="D23" s="355">
        <f>+'30'!D26</f>
        <v>100</v>
      </c>
      <c r="E23" s="355">
        <f>'30'!E26</f>
        <v>63</v>
      </c>
      <c r="F23" s="356">
        <f>+'30'!F26</f>
        <v>0.63</v>
      </c>
      <c r="G23" s="357" t="s">
        <v>309</v>
      </c>
    </row>
    <row r="24" spans="2:7" ht="30" customHeight="1">
      <c r="B24" s="635" t="s">
        <v>557</v>
      </c>
      <c r="C24" s="636"/>
      <c r="D24" s="355">
        <f>+'30'!D27</f>
        <v>72</v>
      </c>
      <c r="E24" s="355">
        <f>'30'!E27</f>
        <v>37</v>
      </c>
      <c r="F24" s="356">
        <f>+'30'!F27</f>
        <v>0.5138888888888888</v>
      </c>
      <c r="G24" s="407" t="s">
        <v>307</v>
      </c>
    </row>
    <row r="25" spans="2:7" ht="30" customHeight="1">
      <c r="B25" s="353" t="s">
        <v>110</v>
      </c>
      <c r="C25" s="354"/>
      <c r="D25" s="375">
        <f>+D21+D22+D23+D24</f>
        <v>388</v>
      </c>
      <c r="E25" s="375">
        <f>+E21+E22+E23+E24</f>
        <v>227</v>
      </c>
      <c r="F25" s="356">
        <f>+E25/D25</f>
        <v>0.5850515463917526</v>
      </c>
      <c r="G25" s="671" t="str">
        <f>IF(OR('17'!B6=1,'17'!B7=1,'17'!B8=1)=TRUE,"ATTENTION,
ce prix doit être diminué du montant estimé des travaux pour la mise aux normes 2011 et ou 2015."," ")</f>
        <v> </v>
      </c>
    </row>
    <row r="26" spans="2:7" ht="30" customHeight="1" hidden="1">
      <c r="B26" s="663" t="s">
        <v>306</v>
      </c>
      <c r="C26" s="664"/>
      <c r="D26" s="683">
        <f>((E21+(E22*3)+(E23*2)+E24)/7)/100</f>
        <v>0.6942857142857143</v>
      </c>
      <c r="E26" s="684"/>
      <c r="F26" s="685"/>
      <c r="G26" s="671"/>
    </row>
    <row r="27" spans="2:7" ht="30" customHeight="1" hidden="1">
      <c r="B27" s="686" t="s">
        <v>310</v>
      </c>
      <c r="C27" s="687"/>
      <c r="D27" s="688">
        <f>D26*3</f>
        <v>2.0828571428571427</v>
      </c>
      <c r="E27" s="689"/>
      <c r="F27" s="690"/>
      <c r="G27" s="671"/>
    </row>
    <row r="28" spans="2:8" ht="36.75" customHeight="1">
      <c r="B28" s="720" t="s">
        <v>311</v>
      </c>
      <c r="C28" s="721"/>
      <c r="D28" s="677">
        <f>+'30'!D31:G31</f>
        <v>1025406.0192857143</v>
      </c>
      <c r="E28" s="678"/>
      <c r="F28" s="679"/>
      <c r="G28" s="671"/>
      <c r="H28" s="406"/>
    </row>
    <row r="29" spans="1:7" ht="15" customHeight="1">
      <c r="A29" s="350"/>
      <c r="B29" s="350"/>
      <c r="C29" s="350"/>
      <c r="D29" s="718"/>
      <c r="E29" s="718"/>
      <c r="F29" s="718"/>
      <c r="G29" s="350"/>
    </row>
    <row r="30" spans="1:7" ht="34.5" customHeight="1" hidden="1">
      <c r="A30" s="719" t="s">
        <v>393</v>
      </c>
      <c r="B30" s="719"/>
      <c r="C30" s="719"/>
      <c r="D30" s="719"/>
      <c r="E30" s="719"/>
      <c r="F30" s="719"/>
      <c r="G30" s="719"/>
    </row>
    <row r="31" spans="1:7" ht="24.75" customHeight="1" hidden="1">
      <c r="A31" s="717" t="s">
        <v>394</v>
      </c>
      <c r="B31" s="717"/>
      <c r="C31" s="717"/>
      <c r="D31" s="717"/>
      <c r="E31" s="717"/>
      <c r="F31" s="717"/>
      <c r="G31" s="717"/>
    </row>
    <row r="32" spans="1:7" ht="15" customHeight="1" hidden="1">
      <c r="A32" s="716" t="s">
        <v>395</v>
      </c>
      <c r="B32" s="716"/>
      <c r="C32" s="716"/>
      <c r="D32" s="716"/>
      <c r="E32" s="716"/>
      <c r="F32" s="716"/>
      <c r="G32" s="716"/>
    </row>
    <row r="33" spans="1:7" ht="15" customHeight="1" hidden="1">
      <c r="A33" s="376"/>
      <c r="B33" s="376"/>
      <c r="C33" s="376"/>
      <c r="D33" s="376"/>
      <c r="E33" s="376"/>
      <c r="F33" s="376"/>
      <c r="G33" s="376"/>
    </row>
    <row r="34" spans="1:7" ht="15" customHeight="1">
      <c r="A34" s="670" t="s">
        <v>223</v>
      </c>
      <c r="B34" s="670"/>
      <c r="C34" s="670"/>
      <c r="D34" s="670"/>
      <c r="E34" s="670"/>
      <c r="F34" s="670"/>
      <c r="G34" s="670"/>
    </row>
    <row r="35" spans="1:7" ht="15" customHeight="1">
      <c r="A35" s="670" t="s">
        <v>225</v>
      </c>
      <c r="B35" s="670"/>
      <c r="C35" s="670"/>
      <c r="D35" s="670"/>
      <c r="E35" s="670"/>
      <c r="F35" s="670"/>
      <c r="G35" s="670"/>
    </row>
    <row r="36" spans="1:7" ht="15" customHeight="1">
      <c r="A36" s="670" t="s">
        <v>224</v>
      </c>
      <c r="B36" s="670"/>
      <c r="C36" s="670"/>
      <c r="D36" s="670"/>
      <c r="E36" s="670"/>
      <c r="F36" s="670"/>
      <c r="G36" s="670"/>
    </row>
    <row r="37" spans="1:7" ht="21" customHeight="1" thickBot="1">
      <c r="A37" s="670" t="s">
        <v>302</v>
      </c>
      <c r="B37" s="670"/>
      <c r="C37" s="670"/>
      <c r="D37" s="670"/>
      <c r="E37" s="670"/>
      <c r="F37" s="670"/>
      <c r="G37" s="670"/>
    </row>
    <row r="38" spans="1:7" ht="182.25" customHeight="1" thickBot="1" thickTop="1">
      <c r="A38" s="672" t="s">
        <v>661</v>
      </c>
      <c r="B38" s="673"/>
      <c r="C38" s="673"/>
      <c r="D38" s="673"/>
      <c r="E38" s="673"/>
      <c r="F38" s="673"/>
      <c r="G38" s="674"/>
    </row>
    <row r="39" spans="1:7" ht="23.25" customHeight="1" thickTop="1">
      <c r="A39" s="670" t="s">
        <v>226</v>
      </c>
      <c r="B39" s="670"/>
      <c r="C39" s="670"/>
      <c r="D39" s="670"/>
      <c r="E39" s="670"/>
      <c r="F39" s="670"/>
      <c r="G39" s="670"/>
    </row>
    <row r="40" spans="1:7" ht="15" customHeight="1">
      <c r="A40" s="670" t="s">
        <v>227</v>
      </c>
      <c r="B40" s="670"/>
      <c r="C40" s="670"/>
      <c r="D40" s="670"/>
      <c r="E40" s="670"/>
      <c r="F40" s="670"/>
      <c r="G40" s="670"/>
    </row>
    <row r="41" spans="1:7" ht="15" customHeight="1">
      <c r="A41" s="670"/>
      <c r="B41" s="670"/>
      <c r="C41" s="670"/>
      <c r="D41" s="670"/>
      <c r="E41" s="670"/>
      <c r="F41" s="670"/>
      <c r="G41" s="670"/>
    </row>
    <row r="42" spans="1:7" ht="15" customHeight="1">
      <c r="A42" s="670" t="s">
        <v>228</v>
      </c>
      <c r="B42" s="670"/>
      <c r="C42" s="670"/>
      <c r="D42" s="670"/>
      <c r="E42" s="670"/>
      <c r="F42" s="670"/>
      <c r="G42" s="670"/>
    </row>
    <row r="43" spans="1:7" ht="15" customHeight="1">
      <c r="A43" s="377"/>
      <c r="B43" s="377"/>
      <c r="C43" s="377"/>
      <c r="D43" s="377"/>
      <c r="E43" s="377"/>
      <c r="F43" s="377"/>
      <c r="G43" s="377"/>
    </row>
    <row r="44" spans="1:7" ht="19.5" customHeight="1">
      <c r="A44" s="438" t="s">
        <v>582</v>
      </c>
      <c r="B44" s="438"/>
      <c r="C44" s="438"/>
      <c r="D44" s="438"/>
      <c r="E44" s="438"/>
      <c r="F44" s="438"/>
      <c r="G44" s="438"/>
    </row>
    <row r="45" spans="1:8" ht="12">
      <c r="A45" s="39" t="s">
        <v>153</v>
      </c>
      <c r="G45" s="378" t="s">
        <v>461</v>
      </c>
      <c r="H45" s="46"/>
    </row>
    <row r="46" spans="1:8" ht="12">
      <c r="A46" s="22" t="s">
        <v>379</v>
      </c>
      <c r="B46" s="46"/>
      <c r="C46" s="46"/>
      <c r="D46" s="46"/>
      <c r="E46" s="46"/>
      <c r="F46" s="46"/>
      <c r="G46" s="46"/>
      <c r="H46" s="46"/>
    </row>
    <row r="47" spans="1:8" ht="12">
      <c r="A47" s="423"/>
      <c r="B47" s="423"/>
      <c r="C47" s="423"/>
      <c r="D47" s="423"/>
      <c r="E47" s="423"/>
      <c r="F47" s="423"/>
      <c r="G47" s="423"/>
      <c r="H47" s="379"/>
    </row>
    <row r="48" spans="1:8" ht="12">
      <c r="A48" s="682" t="s">
        <v>621</v>
      </c>
      <c r="B48" s="682"/>
      <c r="C48" s="682"/>
      <c r="D48" s="682"/>
      <c r="E48" s="682"/>
      <c r="F48" s="682"/>
      <c r="G48" s="682"/>
      <c r="H48" s="69"/>
    </row>
    <row r="49" ht="12.75" thickBot="1"/>
    <row r="50" spans="2:7" ht="71.25" customHeight="1" thickBot="1" thickTop="1">
      <c r="B50" s="710" t="s">
        <v>662</v>
      </c>
      <c r="C50" s="711"/>
      <c r="D50" s="711"/>
      <c r="E50" s="711"/>
      <c r="F50" s="712"/>
      <c r="G50" s="418"/>
    </row>
    <row r="51" ht="12.75" thickTop="1"/>
  </sheetData>
  <sheetProtection password="DF64" sheet="1" objects="1" scenarios="1"/>
  <mergeCells count="45">
    <mergeCell ref="B50:F50"/>
    <mergeCell ref="C2:E2"/>
    <mergeCell ref="A34:G34"/>
    <mergeCell ref="B8:C8"/>
    <mergeCell ref="D8:F8"/>
    <mergeCell ref="A32:G32"/>
    <mergeCell ref="A31:G31"/>
    <mergeCell ref="D29:F29"/>
    <mergeCell ref="A30:G30"/>
    <mergeCell ref="B28:C28"/>
    <mergeCell ref="F2:G2"/>
    <mergeCell ref="B5:F5"/>
    <mergeCell ref="D12:F14"/>
    <mergeCell ref="B6:C6"/>
    <mergeCell ref="B11:F11"/>
    <mergeCell ref="D6:F6"/>
    <mergeCell ref="B7:C7"/>
    <mergeCell ref="A47:G47"/>
    <mergeCell ref="A48:G48"/>
    <mergeCell ref="A44:G44"/>
    <mergeCell ref="D26:F26"/>
    <mergeCell ref="A40:G40"/>
    <mergeCell ref="A41:G41"/>
    <mergeCell ref="A39:G39"/>
    <mergeCell ref="B27:C27"/>
    <mergeCell ref="D27:F27"/>
    <mergeCell ref="A42:G42"/>
    <mergeCell ref="A35:G35"/>
    <mergeCell ref="A36:G36"/>
    <mergeCell ref="A37:G37"/>
    <mergeCell ref="G25:G28"/>
    <mergeCell ref="A38:G38"/>
    <mergeCell ref="G7:G8"/>
    <mergeCell ref="D7:F7"/>
    <mergeCell ref="B24:C24"/>
    <mergeCell ref="D28:F28"/>
    <mergeCell ref="B15:C15"/>
    <mergeCell ref="D15:F15"/>
    <mergeCell ref="B26:C26"/>
    <mergeCell ref="B19:F19"/>
    <mergeCell ref="B22:C22"/>
    <mergeCell ref="B23:C23"/>
    <mergeCell ref="D16:F16"/>
    <mergeCell ref="B16:C16"/>
    <mergeCell ref="B21:C21"/>
  </mergeCells>
  <hyperlinks>
    <hyperlink ref="A44" r:id="rId1" display="Cliquez ici pour commencer"/>
    <hyperlink ref="A44:E44" r:id="rId2" display="Cliquez ici pour voir le résultat final"/>
    <hyperlink ref="A44:G44" location="'1 - INTRODUCTION'!A1" display="Cliquez ici pour faire une autre simulation"/>
    <hyperlink ref="A45" location="'30'!A1" display="retour"/>
  </hyperlinks>
  <printOptions horizontalCentered="1"/>
  <pageMargins left="0.7874015748031497" right="0.7874015748031497" top="0.5905511811023623" bottom="0.5905511811023623" header="0.31496062992125984" footer="0.31496062992125984"/>
  <pageSetup fitToHeight="0" horizontalDpi="600" verticalDpi="600" orientation="portrait" paperSize="9" scale="93" r:id="rId4"/>
  <headerFooter alignWithMargins="0">
    <oddHeader>&amp;CFeuille &amp;A / 31 pages</oddHeader>
    <oddFooter>&amp;LEVALUER UN HÔTEL BUREAU 
AVEC LE NEGHOSCORE&amp;C&amp;D&amp;R
&amp;F</oddFooter>
  </headerFooter>
  <drawing r:id="rId3"/>
</worksheet>
</file>

<file path=xl/worksheets/sheet4.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G18" sqref="G18"/>
    </sheetView>
  </sheetViews>
  <sheetFormatPr defaultColWidth="11.421875" defaultRowHeight="12.75"/>
  <cols>
    <col min="1" max="8" width="15.7109375" style="22" customWidth="1"/>
    <col min="9" max="16384" width="11.421875" style="22" customWidth="1"/>
  </cols>
  <sheetData>
    <row r="1" spans="1:7" ht="34.5" customHeight="1">
      <c r="A1" s="458" t="s">
        <v>337</v>
      </c>
      <c r="B1" s="458"/>
      <c r="C1" s="458"/>
      <c r="D1" s="458"/>
      <c r="E1" s="458"/>
      <c r="F1" s="458"/>
      <c r="G1" s="458"/>
    </row>
    <row r="2" ht="15" customHeight="1"/>
    <row r="3" spans="1:7" ht="61.5" customHeight="1">
      <c r="A3" s="474" t="s">
        <v>338</v>
      </c>
      <c r="B3" s="474"/>
      <c r="C3" s="474"/>
      <c r="D3" s="474"/>
      <c r="E3" s="474"/>
      <c r="F3" s="474"/>
      <c r="G3" s="474"/>
    </row>
    <row r="4" spans="1:9" ht="24.75" customHeight="1">
      <c r="A4" s="477" t="s">
        <v>591</v>
      </c>
      <c r="B4" s="477"/>
      <c r="C4" s="477"/>
      <c r="D4" s="64"/>
      <c r="E4" s="64"/>
      <c r="F4" s="479">
        <v>2.2</v>
      </c>
      <c r="G4" s="479"/>
      <c r="I4" s="65"/>
    </row>
    <row r="5" spans="1:9" ht="23.25" customHeight="1">
      <c r="A5" s="475" t="s">
        <v>289</v>
      </c>
      <c r="B5" s="475"/>
      <c r="C5" s="475"/>
      <c r="D5" s="475">
        <f>IF(3!F2=0,((3!B2*2)+(3!D2))/3,(((3!B2*3)+(3!D2*2)+(3!F2*1))/6))</f>
        <v>492307.4166666667</v>
      </c>
      <c r="E5" s="475"/>
      <c r="F5" s="475">
        <f>D5*F4</f>
        <v>1083076.316666667</v>
      </c>
      <c r="G5" s="475"/>
      <c r="I5" s="66"/>
    </row>
    <row r="6" spans="1:7" s="46" customFormat="1" ht="49.5" customHeight="1">
      <c r="A6" s="476" t="s">
        <v>590</v>
      </c>
      <c r="B6" s="476"/>
      <c r="C6" s="476"/>
      <c r="D6" s="476"/>
      <c r="E6" s="476"/>
      <c r="F6" s="478">
        <f>+F5</f>
        <v>1083076.316666667</v>
      </c>
      <c r="G6" s="478"/>
    </row>
    <row r="7" ht="15" customHeight="1"/>
    <row r="8" ht="15" customHeight="1" hidden="1">
      <c r="A8" s="22" t="s">
        <v>501</v>
      </c>
    </row>
    <row r="9" ht="15" customHeight="1" hidden="1">
      <c r="A9" s="22" t="s">
        <v>502</v>
      </c>
    </row>
    <row r="10" ht="15" customHeight="1" hidden="1">
      <c r="A10" s="22" t="s">
        <v>503</v>
      </c>
    </row>
    <row r="11" ht="15" customHeight="1" hidden="1">
      <c r="A11" s="22" t="s">
        <v>93</v>
      </c>
    </row>
    <row r="12" ht="15" customHeight="1" hidden="1">
      <c r="A12" s="22" t="s">
        <v>94</v>
      </c>
    </row>
    <row r="13" ht="15" customHeight="1" hidden="1">
      <c r="A13" s="22" t="s">
        <v>332</v>
      </c>
    </row>
    <row r="14" ht="15" customHeight="1" hidden="1">
      <c r="A14" s="22" t="s">
        <v>95</v>
      </c>
    </row>
    <row r="15" spans="1:10" ht="15" customHeight="1" hidden="1">
      <c r="A15" s="22" t="s">
        <v>333</v>
      </c>
      <c r="J15" s="38"/>
    </row>
    <row r="16" ht="15" customHeight="1">
      <c r="J16" s="38"/>
    </row>
    <row r="17" spans="1:7" ht="19.5" customHeight="1">
      <c r="A17" s="438" t="s">
        <v>328</v>
      </c>
      <c r="B17" s="438"/>
      <c r="C17" s="438"/>
      <c r="D17" s="438"/>
      <c r="E17" s="438"/>
      <c r="F17" s="438"/>
      <c r="G17" s="438"/>
    </row>
    <row r="18" spans="1:7" ht="12">
      <c r="A18" s="39" t="s">
        <v>153</v>
      </c>
      <c r="G18" s="58" t="s">
        <v>154</v>
      </c>
    </row>
    <row r="19" spans="1:7" ht="12">
      <c r="A19" s="39"/>
      <c r="G19" s="58"/>
    </row>
    <row r="20" ht="12">
      <c r="A20" s="22" t="s">
        <v>379</v>
      </c>
    </row>
    <row r="22" ht="12">
      <c r="A22" s="22" t="s">
        <v>592</v>
      </c>
    </row>
    <row r="23" spans="1:7" ht="12">
      <c r="A23" s="451" t="s">
        <v>434</v>
      </c>
      <c r="B23" s="451"/>
      <c r="C23" s="451"/>
      <c r="D23" s="451"/>
      <c r="E23" s="451"/>
      <c r="F23" s="451"/>
      <c r="G23" s="451"/>
    </row>
    <row r="28" spans="3:4" ht="12">
      <c r="C28" s="49"/>
      <c r="D28" s="46"/>
    </row>
    <row r="63" ht="238.5">
      <c r="A63" s="409" t="s">
        <v>647</v>
      </c>
    </row>
  </sheetData>
  <sheetProtection password="DF64" sheet="1" objects="1" scenarios="1"/>
  <mergeCells count="11">
    <mergeCell ref="A1:G1"/>
    <mergeCell ref="F6:G6"/>
    <mergeCell ref="F4:G4"/>
    <mergeCell ref="A5:C5"/>
    <mergeCell ref="D5:E5"/>
    <mergeCell ref="A3:G3"/>
    <mergeCell ref="A23:G23"/>
    <mergeCell ref="A17:G17"/>
    <mergeCell ref="F5:G5"/>
    <mergeCell ref="A6:E6"/>
    <mergeCell ref="A4:C4"/>
  </mergeCells>
  <hyperlinks>
    <hyperlink ref="A17" r:id="rId1" display="Cliquez ici pour commencer"/>
    <hyperlink ref="A17:F17" r:id="rId2" display="Cliquez ici pour commencer"/>
    <hyperlink ref="A17:G17" location="'5'!A1" display="Cliquez ici pour continuer"/>
    <hyperlink ref="A18" location="'3'!A1" display="retour"/>
    <hyperlink ref="G18" location="'5'!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5.xml><?xml version="1.0" encoding="utf-8"?>
<worksheet xmlns="http://schemas.openxmlformats.org/spreadsheetml/2006/main" xmlns:r="http://schemas.openxmlformats.org/officeDocument/2006/relationships">
  <dimension ref="A1:G63"/>
  <sheetViews>
    <sheetView showGridLines="0" zoomScalePageLayoutView="0" workbookViewId="0" topLeftCell="A1">
      <selection activeCell="G16" sqref="G16"/>
    </sheetView>
  </sheetViews>
  <sheetFormatPr defaultColWidth="11.421875" defaultRowHeight="12.75"/>
  <cols>
    <col min="1" max="1" width="30.7109375" style="22" customWidth="1"/>
    <col min="2" max="7" width="15.7109375" style="22" customWidth="1"/>
    <col min="8" max="8" width="5.7109375" style="22" customWidth="1"/>
    <col min="9" max="16384" width="11.421875" style="22" customWidth="1"/>
  </cols>
  <sheetData>
    <row r="1" spans="1:7" ht="34.5" customHeight="1">
      <c r="A1" s="458" t="s">
        <v>362</v>
      </c>
      <c r="B1" s="458"/>
      <c r="C1" s="458"/>
      <c r="D1" s="458"/>
      <c r="E1" s="458"/>
      <c r="F1" s="458"/>
      <c r="G1" s="458"/>
    </row>
    <row r="2" ht="15" customHeight="1"/>
    <row r="3" ht="15" customHeight="1"/>
    <row r="4" spans="1:7" ht="15">
      <c r="A4" s="67" t="s">
        <v>593</v>
      </c>
      <c r="B4" s="64"/>
      <c r="C4" s="64"/>
      <c r="D4" s="484">
        <v>4.8</v>
      </c>
      <c r="E4" s="484"/>
      <c r="F4" s="484">
        <v>5.2</v>
      </c>
      <c r="G4" s="484"/>
    </row>
    <row r="5" spans="1:7" ht="15">
      <c r="A5" s="68" t="s">
        <v>594</v>
      </c>
      <c r="B5" s="480">
        <f>IF(3!F14=0,((3!B14*2)+(3!D14))/3,(((3!B14*3)+(3!D14*2)+(3!F14))/6))</f>
        <v>123959.33333333333</v>
      </c>
      <c r="C5" s="480"/>
      <c r="D5" s="480">
        <f>+B5*D4</f>
        <v>595004.7999999999</v>
      </c>
      <c r="E5" s="480"/>
      <c r="F5" s="480">
        <f>+B5*F4</f>
        <v>644588.5333333333</v>
      </c>
      <c r="G5" s="480"/>
    </row>
    <row r="6" spans="1:7" ht="49.5" customHeight="1">
      <c r="A6" s="481" t="s">
        <v>595</v>
      </c>
      <c r="B6" s="481"/>
      <c r="C6" s="481"/>
      <c r="D6" s="481"/>
      <c r="E6" s="481"/>
      <c r="F6" s="478">
        <f>(+D5+F5)/2</f>
        <v>619796.6666666666</v>
      </c>
      <c r="G6" s="478"/>
    </row>
    <row r="7" ht="15" customHeight="1"/>
    <row r="8" ht="15" customHeight="1" hidden="1">
      <c r="A8" s="22" t="s">
        <v>568</v>
      </c>
    </row>
    <row r="9" ht="15" customHeight="1" hidden="1">
      <c r="A9" s="22" t="s">
        <v>569</v>
      </c>
    </row>
    <row r="10" ht="15" customHeight="1" hidden="1">
      <c r="A10" s="22" t="s">
        <v>565</v>
      </c>
    </row>
    <row r="11" ht="15" customHeight="1" hidden="1">
      <c r="A11" s="22" t="s">
        <v>566</v>
      </c>
    </row>
    <row r="12" ht="15" customHeight="1" hidden="1">
      <c r="A12" s="22" t="s">
        <v>567</v>
      </c>
    </row>
    <row r="13" ht="15" customHeight="1" hidden="1"/>
    <row r="14" ht="15" customHeight="1"/>
    <row r="15" spans="1:7" ht="19.5" customHeight="1">
      <c r="A15" s="438" t="s">
        <v>328</v>
      </c>
      <c r="B15" s="438"/>
      <c r="C15" s="438"/>
      <c r="D15" s="438"/>
      <c r="E15" s="438"/>
      <c r="F15" s="438"/>
      <c r="G15" s="438"/>
    </row>
    <row r="16" spans="1:7" ht="12">
      <c r="A16" s="39" t="s">
        <v>153</v>
      </c>
      <c r="G16" s="58" t="s">
        <v>154</v>
      </c>
    </row>
    <row r="18" ht="12">
      <c r="A18" s="22" t="s">
        <v>379</v>
      </c>
    </row>
    <row r="20" spans="1:7" ht="15" customHeight="1">
      <c r="A20" s="482" t="s">
        <v>596</v>
      </c>
      <c r="B20" s="483"/>
      <c r="C20" s="483"/>
      <c r="D20" s="483"/>
      <c r="E20" s="483"/>
      <c r="F20" s="483"/>
      <c r="G20" s="483"/>
    </row>
    <row r="22" spans="1:7" ht="30" customHeight="1">
      <c r="A22" s="482" t="s">
        <v>619</v>
      </c>
      <c r="B22" s="483"/>
      <c r="C22" s="483"/>
      <c r="D22" s="483"/>
      <c r="E22" s="483"/>
      <c r="F22" s="483"/>
      <c r="G22" s="483"/>
    </row>
    <row r="23" spans="1:7" ht="12">
      <c r="A23" s="451" t="s">
        <v>435</v>
      </c>
      <c r="B23" s="451"/>
      <c r="C23" s="451"/>
      <c r="D23" s="451"/>
      <c r="E23" s="451"/>
      <c r="F23" s="451"/>
      <c r="G23" s="451"/>
    </row>
    <row r="63" ht="138.75">
      <c r="A63" s="409" t="s">
        <v>647</v>
      </c>
    </row>
  </sheetData>
  <sheetProtection password="DF64" sheet="1" objects="1" scenarios="1"/>
  <mergeCells count="12">
    <mergeCell ref="A1:G1"/>
    <mergeCell ref="A15:G15"/>
    <mergeCell ref="D4:E4"/>
    <mergeCell ref="F4:G4"/>
    <mergeCell ref="B5:C5"/>
    <mergeCell ref="D5:E5"/>
    <mergeCell ref="F5:G5"/>
    <mergeCell ref="A6:E6"/>
    <mergeCell ref="A20:G20"/>
    <mergeCell ref="A22:G22"/>
    <mergeCell ref="F6:G6"/>
    <mergeCell ref="A23:G23"/>
  </mergeCells>
  <hyperlinks>
    <hyperlink ref="A15" r:id="rId1" display="Cliquez ici pour commencer"/>
    <hyperlink ref="A15:F15" r:id="rId2" display="Cliquez ici pour commencer"/>
    <hyperlink ref="A15:G15" location="'6'!A1" display="Cliquez ici pour continuer"/>
    <hyperlink ref="A16" location="'4'!A1" display="retour"/>
    <hyperlink ref="G16" location="'6'!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xl/worksheets/sheet6.xml><?xml version="1.0" encoding="utf-8"?>
<worksheet xmlns="http://schemas.openxmlformats.org/spreadsheetml/2006/main" xmlns:r="http://schemas.openxmlformats.org/officeDocument/2006/relationships">
  <dimension ref="A1:P29"/>
  <sheetViews>
    <sheetView showGridLines="0" zoomScalePageLayoutView="0" workbookViewId="0" topLeftCell="A1">
      <selection activeCell="G27" sqref="G27"/>
    </sheetView>
  </sheetViews>
  <sheetFormatPr defaultColWidth="11.421875" defaultRowHeight="12.75"/>
  <cols>
    <col min="1" max="8" width="15.7109375" style="22" customWidth="1"/>
    <col min="9" max="16384" width="11.421875" style="22" customWidth="1"/>
  </cols>
  <sheetData>
    <row r="1" spans="1:8" ht="34.5" customHeight="1">
      <c r="A1" s="458" t="s">
        <v>220</v>
      </c>
      <c r="B1" s="458"/>
      <c r="C1" s="458"/>
      <c r="D1" s="458"/>
      <c r="E1" s="458"/>
      <c r="F1" s="458"/>
      <c r="G1" s="458"/>
      <c r="H1" s="69"/>
    </row>
    <row r="2" ht="15" customHeight="1"/>
    <row r="3" spans="1:8" ht="15" customHeight="1" thickBot="1">
      <c r="A3" s="70"/>
      <c r="B3" s="70"/>
      <c r="C3" s="70"/>
      <c r="D3" s="70"/>
      <c r="E3" s="70"/>
      <c r="F3" s="70"/>
      <c r="G3" s="70"/>
      <c r="H3" s="70"/>
    </row>
    <row r="4" spans="1:8" ht="50.25" customHeight="1">
      <c r="A4" s="494" t="s">
        <v>368</v>
      </c>
      <c r="B4" s="495"/>
      <c r="C4" s="495"/>
      <c r="D4" s="495"/>
      <c r="E4" s="495"/>
      <c r="F4" s="495"/>
      <c r="G4" s="496"/>
      <c r="H4" s="71"/>
    </row>
    <row r="5" spans="1:16" ht="39" customHeight="1">
      <c r="A5" s="485" t="s">
        <v>622</v>
      </c>
      <c r="B5" s="486"/>
      <c r="C5" s="486"/>
      <c r="D5" s="486"/>
      <c r="E5" s="486"/>
      <c r="F5" s="486"/>
      <c r="G5" s="487"/>
      <c r="H5" s="72"/>
      <c r="I5" s="70"/>
      <c r="J5" s="70"/>
      <c r="K5" s="70"/>
      <c r="L5" s="70"/>
      <c r="M5" s="70"/>
      <c r="N5" s="70"/>
      <c r="O5" s="70"/>
      <c r="P5" s="70"/>
    </row>
    <row r="6" spans="1:16" ht="27" customHeight="1">
      <c r="A6" s="485" t="s">
        <v>623</v>
      </c>
      <c r="B6" s="486"/>
      <c r="C6" s="486"/>
      <c r="D6" s="486"/>
      <c r="E6" s="486"/>
      <c r="F6" s="486"/>
      <c r="G6" s="487"/>
      <c r="H6" s="72"/>
      <c r="I6" s="70"/>
      <c r="J6" s="70"/>
      <c r="K6" s="70"/>
      <c r="L6" s="70"/>
      <c r="M6" s="70"/>
      <c r="N6" s="70"/>
      <c r="O6" s="70"/>
      <c r="P6" s="70"/>
    </row>
    <row r="7" spans="1:16" ht="38.25" customHeight="1">
      <c r="A7" s="485" t="s">
        <v>397</v>
      </c>
      <c r="B7" s="486"/>
      <c r="C7" s="486"/>
      <c r="D7" s="486"/>
      <c r="E7" s="486"/>
      <c r="F7" s="486"/>
      <c r="G7" s="487"/>
      <c r="H7" s="72"/>
      <c r="I7" s="70"/>
      <c r="J7" s="70"/>
      <c r="K7" s="70"/>
      <c r="L7" s="70"/>
      <c r="M7" s="70"/>
      <c r="N7" s="70"/>
      <c r="O7" s="70"/>
      <c r="P7" s="70"/>
    </row>
    <row r="8" spans="1:16" s="74" customFormat="1" ht="18" customHeight="1" thickBot="1">
      <c r="A8" s="490" t="s">
        <v>230</v>
      </c>
      <c r="B8" s="491"/>
      <c r="C8" s="491"/>
      <c r="D8" s="491"/>
      <c r="E8" s="491"/>
      <c r="F8" s="491"/>
      <c r="G8" s="492"/>
      <c r="H8" s="73"/>
      <c r="I8" s="70"/>
      <c r="J8" s="70"/>
      <c r="K8" s="70"/>
      <c r="L8" s="70"/>
      <c r="M8" s="70"/>
      <c r="N8" s="70"/>
      <c r="O8" s="70"/>
      <c r="P8" s="70"/>
    </row>
    <row r="9" spans="1:16" ht="15" customHeight="1">
      <c r="A9" s="75"/>
      <c r="B9" s="75"/>
      <c r="C9" s="75"/>
      <c r="D9" s="75"/>
      <c r="E9" s="75"/>
      <c r="F9" s="75"/>
      <c r="G9" s="75"/>
      <c r="I9" s="70"/>
      <c r="J9" s="70"/>
      <c r="K9" s="70"/>
      <c r="L9" s="70"/>
      <c r="M9" s="70"/>
      <c r="N9" s="70"/>
      <c r="O9" s="70"/>
      <c r="P9" s="70"/>
    </row>
    <row r="10" spans="1:7" ht="18" customHeight="1">
      <c r="A10" s="488" t="s">
        <v>96</v>
      </c>
      <c r="B10" s="488"/>
      <c r="C10" s="488"/>
      <c r="D10" s="402">
        <f>5!B5</f>
        <v>123959.33333333333</v>
      </c>
      <c r="E10" s="493" t="s">
        <v>97</v>
      </c>
      <c r="F10" s="493"/>
      <c r="G10" s="493"/>
    </row>
    <row r="11" spans="1:7" ht="18" customHeight="1">
      <c r="A11" s="488" t="s">
        <v>98</v>
      </c>
      <c r="B11" s="488"/>
      <c r="C11" s="488"/>
      <c r="D11" s="16">
        <v>0</v>
      </c>
      <c r="E11" s="489" t="s">
        <v>99</v>
      </c>
      <c r="F11" s="489"/>
      <c r="G11" s="422">
        <v>0.019</v>
      </c>
    </row>
    <row r="12" spans="1:7" ht="18" customHeight="1">
      <c r="A12" s="488" t="s">
        <v>234</v>
      </c>
      <c r="B12" s="488"/>
      <c r="C12" s="488"/>
      <c r="D12" s="16">
        <v>14996</v>
      </c>
      <c r="E12" s="489" t="s">
        <v>100</v>
      </c>
      <c r="F12" s="489"/>
      <c r="G12" s="76" t="s">
        <v>101</v>
      </c>
    </row>
    <row r="13" spans="1:8" ht="18" customHeight="1">
      <c r="A13" s="488" t="s">
        <v>102</v>
      </c>
      <c r="B13" s="488"/>
      <c r="C13" s="488"/>
      <c r="D13" s="16">
        <v>0</v>
      </c>
      <c r="E13" s="489" t="s">
        <v>624</v>
      </c>
      <c r="F13" s="489"/>
      <c r="G13" s="77">
        <v>6.4969</v>
      </c>
      <c r="H13" s="38"/>
    </row>
    <row r="14" spans="1:8" ht="18" customHeight="1">
      <c r="A14" s="497" t="s">
        <v>103</v>
      </c>
      <c r="B14" s="497"/>
      <c r="C14" s="497"/>
      <c r="D14" s="78">
        <f>D10-D11-D12-D13</f>
        <v>108963.33333333333</v>
      </c>
      <c r="E14" s="489" t="s">
        <v>104</v>
      </c>
      <c r="F14" s="489"/>
      <c r="G14" s="373">
        <f>+D14*G13</f>
        <v>707923.8803333333</v>
      </c>
      <c r="H14" s="46"/>
    </row>
    <row r="15" spans="1:7" ht="18" customHeight="1">
      <c r="A15" s="79"/>
      <c r="B15" s="80"/>
      <c r="C15" s="80"/>
      <c r="D15" s="81"/>
      <c r="E15" s="498" t="s">
        <v>105</v>
      </c>
      <c r="F15" s="499"/>
      <c r="G15" s="373">
        <f>G16-G14</f>
        <v>303395.94871428574</v>
      </c>
    </row>
    <row r="16" spans="1:7" ht="49.5" customHeight="1">
      <c r="A16" s="481" t="s">
        <v>620</v>
      </c>
      <c r="B16" s="481"/>
      <c r="C16" s="481"/>
      <c r="D16" s="481"/>
      <c r="E16" s="481"/>
      <c r="F16" s="481"/>
      <c r="G16" s="82">
        <f>+G14/70*100</f>
        <v>1011319.829047619</v>
      </c>
    </row>
    <row r="17" ht="15" customHeight="1"/>
    <row r="18" ht="15" customHeight="1" hidden="1">
      <c r="A18" s="22" t="s">
        <v>108</v>
      </c>
    </row>
    <row r="19" ht="15" customHeight="1" hidden="1">
      <c r="A19" s="22" t="s">
        <v>231</v>
      </c>
    </row>
    <row r="20" ht="15" customHeight="1" hidden="1"/>
    <row r="21" ht="15" customHeight="1" hidden="1">
      <c r="A21" s="44" t="s">
        <v>106</v>
      </c>
    </row>
    <row r="22" ht="15" customHeight="1" hidden="1">
      <c r="A22" s="22" t="s">
        <v>232</v>
      </c>
    </row>
    <row r="23" ht="15" customHeight="1" hidden="1">
      <c r="A23" s="22" t="s">
        <v>107</v>
      </c>
    </row>
    <row r="24" ht="15" customHeight="1" hidden="1">
      <c r="A24" s="22" t="s">
        <v>233</v>
      </c>
    </row>
    <row r="25" ht="15" customHeight="1"/>
    <row r="26" spans="1:7" ht="19.5" customHeight="1">
      <c r="A26" s="438" t="s">
        <v>328</v>
      </c>
      <c r="B26" s="438"/>
      <c r="C26" s="438"/>
      <c r="D26" s="438"/>
      <c r="E26" s="438"/>
      <c r="F26" s="438"/>
      <c r="G26" s="438"/>
    </row>
    <row r="27" spans="1:7" ht="12">
      <c r="A27" s="39" t="s">
        <v>153</v>
      </c>
      <c r="G27" s="58" t="s">
        <v>154</v>
      </c>
    </row>
    <row r="28" ht="12">
      <c r="A28" s="22" t="s">
        <v>592</v>
      </c>
    </row>
    <row r="29" spans="1:7" ht="12">
      <c r="A29" s="451" t="s">
        <v>436</v>
      </c>
      <c r="B29" s="451"/>
      <c r="C29" s="451"/>
      <c r="D29" s="451"/>
      <c r="E29" s="451"/>
      <c r="F29" s="451"/>
      <c r="G29" s="451"/>
    </row>
  </sheetData>
  <sheetProtection/>
  <mergeCells count="20">
    <mergeCell ref="A11:C11"/>
    <mergeCell ref="E11:F11"/>
    <mergeCell ref="A4:G4"/>
    <mergeCell ref="A5:G5"/>
    <mergeCell ref="A29:G29"/>
    <mergeCell ref="A26:G26"/>
    <mergeCell ref="A14:C14"/>
    <mergeCell ref="E14:F14"/>
    <mergeCell ref="E15:F15"/>
    <mergeCell ref="A16:F16"/>
    <mergeCell ref="A6:G6"/>
    <mergeCell ref="A7:G7"/>
    <mergeCell ref="A12:C12"/>
    <mergeCell ref="E12:F12"/>
    <mergeCell ref="A1:G1"/>
    <mergeCell ref="A13:C13"/>
    <mergeCell ref="E13:F13"/>
    <mergeCell ref="A8:G8"/>
    <mergeCell ref="A10:C10"/>
    <mergeCell ref="E10:G10"/>
  </mergeCells>
  <hyperlinks>
    <hyperlink ref="A26" r:id="rId1" display="Cliquez ici pour commencer"/>
    <hyperlink ref="A26:F26" r:id="rId2" display="Cliquez ici pour commencer"/>
    <hyperlink ref="A26:G26" location="'7'!A1" display="Cliquez ici pour continuer"/>
    <hyperlink ref="A26:H26" r:id="rId3" display="Cliquez ici pour continuer"/>
    <hyperlink ref="A27" location="'5'!A1" display="retour"/>
    <hyperlink ref="G27" location="'7'!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7.xml><?xml version="1.0" encoding="utf-8"?>
<worksheet xmlns="http://schemas.openxmlformats.org/spreadsheetml/2006/main" xmlns:r="http://schemas.openxmlformats.org/officeDocument/2006/relationships">
  <dimension ref="A1:H63"/>
  <sheetViews>
    <sheetView showGridLines="0" zoomScalePageLayoutView="0" workbookViewId="0" topLeftCell="A1">
      <selection activeCell="H22" sqref="H22"/>
    </sheetView>
  </sheetViews>
  <sheetFormatPr defaultColWidth="11.421875" defaultRowHeight="12.75"/>
  <cols>
    <col min="1" max="1" width="7.8515625" style="22" customWidth="1"/>
    <col min="2" max="2" width="29.8515625" style="22" customWidth="1"/>
    <col min="3" max="3" width="23.421875" style="22" customWidth="1"/>
    <col min="4" max="4" width="11.421875" style="22" customWidth="1"/>
    <col min="5" max="5" width="13.7109375" style="22" bestFit="1" customWidth="1"/>
    <col min="6" max="16384" width="11.421875" style="22" customWidth="1"/>
  </cols>
  <sheetData>
    <row r="1" spans="1:8" ht="34.5" customHeight="1">
      <c r="A1" s="458" t="s">
        <v>363</v>
      </c>
      <c r="B1" s="459"/>
      <c r="C1" s="459"/>
      <c r="D1" s="459"/>
      <c r="E1" s="459"/>
      <c r="F1" s="459"/>
      <c r="G1" s="459"/>
      <c r="H1" s="459"/>
    </row>
    <row r="2" ht="15" customHeight="1"/>
    <row r="3" spans="1:8" ht="15" customHeight="1">
      <c r="A3" s="83"/>
      <c r="B3" s="83"/>
      <c r="C3" s="83"/>
      <c r="D3" s="83"/>
      <c r="E3" s="83"/>
      <c r="F3" s="83"/>
      <c r="G3" s="83"/>
      <c r="H3" s="83"/>
    </row>
    <row r="4" spans="1:8" ht="30" customHeight="1">
      <c r="A4" s="503" t="s">
        <v>290</v>
      </c>
      <c r="B4" s="503"/>
      <c r="C4" s="500">
        <f>4!F6</f>
        <v>1083076.316666667</v>
      </c>
      <c r="D4" s="500"/>
      <c r="E4" s="504">
        <f>(C4+(C5*2)+(C6*2))/5</f>
        <v>869061.8616190476</v>
      </c>
      <c r="F4" s="504"/>
      <c r="G4" s="504"/>
      <c r="H4" s="504"/>
    </row>
    <row r="5" spans="1:8" ht="30" customHeight="1">
      <c r="A5" s="502" t="s">
        <v>364</v>
      </c>
      <c r="B5" s="502"/>
      <c r="C5" s="500">
        <f>5!F6</f>
        <v>619796.6666666666</v>
      </c>
      <c r="D5" s="500"/>
      <c r="E5" s="505"/>
      <c r="F5" s="505"/>
      <c r="G5" s="505"/>
      <c r="H5" s="505"/>
    </row>
    <row r="6" spans="1:8" ht="30" customHeight="1">
      <c r="A6" s="501" t="s">
        <v>365</v>
      </c>
      <c r="B6" s="501"/>
      <c r="C6" s="500">
        <f>6!G16</f>
        <v>1011319.829047619</v>
      </c>
      <c r="D6" s="500"/>
      <c r="E6" s="506"/>
      <c r="F6" s="506"/>
      <c r="G6" s="506"/>
      <c r="H6" s="506"/>
    </row>
    <row r="7" spans="1:8" ht="25.5" customHeight="1">
      <c r="A7" s="84"/>
      <c r="B7" s="84"/>
      <c r="C7" s="509" t="s">
        <v>109</v>
      </c>
      <c r="D7" s="509"/>
      <c r="E7" s="500">
        <f>IF(2!D33="oui",15000,0)</f>
        <v>15000</v>
      </c>
      <c r="F7" s="500"/>
      <c r="G7" s="500"/>
      <c r="H7" s="500"/>
    </row>
    <row r="8" spans="1:8" ht="49.5" customHeight="1">
      <c r="A8" s="508" t="s">
        <v>625</v>
      </c>
      <c r="B8" s="508"/>
      <c r="C8" s="481"/>
      <c r="D8" s="481"/>
      <c r="E8" s="507">
        <f>SUM(E4:H7)</f>
        <v>884061.8616190476</v>
      </c>
      <c r="F8" s="507"/>
      <c r="G8" s="507"/>
      <c r="H8" s="507"/>
    </row>
    <row r="9" spans="1:5" ht="15" customHeight="1">
      <c r="A9" s="85"/>
      <c r="B9" s="85"/>
      <c r="C9" s="86"/>
      <c r="D9" s="86"/>
      <c r="E9" s="86"/>
    </row>
    <row r="10" spans="1:5" ht="15" customHeight="1" hidden="1">
      <c r="A10" s="510" t="s">
        <v>248</v>
      </c>
      <c r="B10" s="510"/>
      <c r="C10" s="86"/>
      <c r="D10" s="86"/>
      <c r="E10" s="86"/>
    </row>
    <row r="11" ht="15" customHeight="1" hidden="1">
      <c r="A11" s="22" t="s">
        <v>111</v>
      </c>
    </row>
    <row r="12" ht="15" customHeight="1" hidden="1">
      <c r="A12" s="22" t="s">
        <v>112</v>
      </c>
    </row>
    <row r="13" ht="15" customHeight="1" hidden="1">
      <c r="A13" s="44" t="s">
        <v>240</v>
      </c>
    </row>
    <row r="14" ht="15" customHeight="1" hidden="1">
      <c r="A14" s="22" t="s">
        <v>235</v>
      </c>
    </row>
    <row r="15" ht="15" customHeight="1" hidden="1">
      <c r="A15" s="22" t="s">
        <v>238</v>
      </c>
    </row>
    <row r="16" ht="15" customHeight="1" hidden="1">
      <c r="A16" s="22" t="s">
        <v>239</v>
      </c>
    </row>
    <row r="17" ht="15" customHeight="1" hidden="1">
      <c r="A17" s="22" t="s">
        <v>113</v>
      </c>
    </row>
    <row r="18" ht="15" customHeight="1" hidden="1"/>
    <row r="19" ht="15" customHeight="1" hidden="1">
      <c r="A19" s="22" t="s">
        <v>241</v>
      </c>
    </row>
    <row r="21" spans="1:8" ht="19.5" customHeight="1">
      <c r="A21" s="438" t="s">
        <v>242</v>
      </c>
      <c r="B21" s="438"/>
      <c r="C21" s="438"/>
      <c r="D21" s="438"/>
      <c r="E21" s="438"/>
      <c r="F21" s="438"/>
      <c r="G21" s="438"/>
      <c r="H21" s="37"/>
    </row>
    <row r="22" spans="1:8" ht="12">
      <c r="A22" s="39" t="s">
        <v>153</v>
      </c>
      <c r="H22" s="58" t="s">
        <v>154</v>
      </c>
    </row>
    <row r="23" ht="12">
      <c r="A23" s="22" t="s">
        <v>379</v>
      </c>
    </row>
    <row r="24" spans="1:8" ht="12">
      <c r="A24" s="451" t="s">
        <v>437</v>
      </c>
      <c r="B24" s="451"/>
      <c r="C24" s="451"/>
      <c r="D24" s="451"/>
      <c r="E24" s="451"/>
      <c r="F24" s="451"/>
      <c r="G24" s="451"/>
      <c r="H24" s="451"/>
    </row>
    <row r="63" ht="409.5">
      <c r="A63" s="409" t="s">
        <v>647</v>
      </c>
    </row>
  </sheetData>
  <sheetProtection password="DF64" sheet="1"/>
  <mergeCells count="15">
    <mergeCell ref="A24:H24"/>
    <mergeCell ref="E7:H7"/>
    <mergeCell ref="E8:H8"/>
    <mergeCell ref="A8:D8"/>
    <mergeCell ref="C7:D7"/>
    <mergeCell ref="A21:G21"/>
    <mergeCell ref="A10:B10"/>
    <mergeCell ref="C4:D4"/>
    <mergeCell ref="A1:H1"/>
    <mergeCell ref="C5:D5"/>
    <mergeCell ref="A6:B6"/>
    <mergeCell ref="A5:B5"/>
    <mergeCell ref="A4:B4"/>
    <mergeCell ref="E4:H6"/>
    <mergeCell ref="C6:D6"/>
  </mergeCells>
  <hyperlinks>
    <hyperlink ref="A21" r:id="rId1" display="Cliquez ici pour commencer"/>
    <hyperlink ref="A21:F21" r:id="rId2" display="Cliquez ici pour commencer"/>
    <hyperlink ref="A21:G21" r:id="rId3" display="Cliquez ici pour continuer"/>
    <hyperlink ref="A21:H21" location="'8'!A1" display="Cliquez ici pour continuer et passer à l'étape de l'évaluation selon Neghoscore"/>
    <hyperlink ref="A22" location="'6'!A1" display="retour"/>
    <hyperlink ref="H22" location="'8'!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4"/>
  <headerFooter alignWithMargins="0">
    <oddHeader>&amp;CFeuille &amp;A / 31 pages</oddHeader>
    <oddFooter>&amp;LEVALUER UN HÔTEL BUREAU 
AVEC LE NEGHOSCORE&amp;C&amp;D&amp;R
&amp;F</oddFooter>
  </headerFooter>
</worksheet>
</file>

<file path=xl/worksheets/sheet8.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33" sqref="D33"/>
    </sheetView>
  </sheetViews>
  <sheetFormatPr defaultColWidth="11.421875" defaultRowHeight="12.75"/>
  <cols>
    <col min="1" max="4" width="30.7109375" style="22" customWidth="1"/>
    <col min="5" max="5" width="21.7109375" style="22" customWidth="1"/>
    <col min="6" max="16384" width="11.421875" style="22" customWidth="1"/>
  </cols>
  <sheetData>
    <row r="1" spans="1:4" ht="34.5" customHeight="1">
      <c r="A1" s="511" t="s">
        <v>597</v>
      </c>
      <c r="B1" s="511"/>
      <c r="C1" s="511"/>
      <c r="D1" s="511"/>
    </row>
    <row r="2" ht="15" customHeight="1"/>
    <row r="3" spans="1:5" ht="15" customHeight="1">
      <c r="A3" s="512" t="s">
        <v>626</v>
      </c>
      <c r="B3" s="512"/>
      <c r="C3" s="512"/>
      <c r="D3" s="512"/>
      <c r="E3" s="87"/>
    </row>
    <row r="4" spans="1:5" ht="24" customHeight="1" thickBot="1">
      <c r="A4" s="513"/>
      <c r="B4" s="513"/>
      <c r="C4" s="513"/>
      <c r="D4" s="513"/>
      <c r="E4" s="87"/>
    </row>
    <row r="5" spans="1:5" ht="19.5" customHeight="1">
      <c r="A5" s="494" t="s">
        <v>354</v>
      </c>
      <c r="B5" s="495"/>
      <c r="C5" s="495"/>
      <c r="D5" s="496"/>
      <c r="E5" s="88"/>
    </row>
    <row r="6" spans="1:7" ht="37.5" customHeight="1" thickBot="1">
      <c r="A6" s="519" t="s">
        <v>377</v>
      </c>
      <c r="B6" s="520"/>
      <c r="C6" s="520"/>
      <c r="D6" s="521"/>
      <c r="E6" s="88"/>
      <c r="G6" s="89"/>
    </row>
    <row r="7" spans="1:5" ht="15" customHeight="1">
      <c r="A7" s="88"/>
      <c r="B7" s="88"/>
      <c r="C7" s="88"/>
      <c r="D7" s="88"/>
      <c r="E7" s="88"/>
    </row>
    <row r="8" spans="1:4" ht="15" customHeight="1">
      <c r="A8" s="517" t="s">
        <v>246</v>
      </c>
      <c r="B8" s="517"/>
      <c r="C8" s="517"/>
      <c r="D8" s="17">
        <v>3</v>
      </c>
    </row>
    <row r="9" spans="1:4" ht="15" customHeight="1">
      <c r="A9" s="517" t="s">
        <v>430</v>
      </c>
      <c r="B9" s="517"/>
      <c r="C9" s="517"/>
      <c r="D9" s="17">
        <v>6</v>
      </c>
    </row>
    <row r="10" spans="1:4" ht="15" customHeight="1">
      <c r="A10" s="517" t="s">
        <v>244</v>
      </c>
      <c r="B10" s="517"/>
      <c r="C10" s="517"/>
      <c r="D10" s="18">
        <v>27</v>
      </c>
    </row>
    <row r="11" spans="1:5" ht="15" customHeight="1">
      <c r="A11" s="515" t="s">
        <v>366</v>
      </c>
      <c r="B11" s="516"/>
      <c r="C11" s="516"/>
      <c r="D11" s="90">
        <f>ROUND(D9/D10,2)</f>
        <v>0.22</v>
      </c>
      <c r="E11" s="91"/>
    </row>
    <row r="12" ht="15" customHeight="1">
      <c r="D12" s="48"/>
    </row>
    <row r="13" spans="1:9" ht="15" customHeight="1" hidden="1">
      <c r="A13" s="518" t="s">
        <v>283</v>
      </c>
      <c r="B13" s="518"/>
      <c r="C13" s="518"/>
      <c r="D13" s="518"/>
      <c r="E13" s="518"/>
      <c r="F13" s="38"/>
      <c r="G13" s="38"/>
      <c r="H13" s="38"/>
      <c r="I13" s="38"/>
    </row>
    <row r="14" spans="1:9" ht="15" customHeight="1" hidden="1">
      <c r="A14" s="92" t="s">
        <v>245</v>
      </c>
      <c r="B14" s="514" t="s">
        <v>243</v>
      </c>
      <c r="C14" s="514"/>
      <c r="D14" s="514"/>
      <c r="E14" s="514"/>
      <c r="F14" s="8"/>
      <c r="G14" s="8"/>
      <c r="H14" s="8"/>
      <c r="I14" s="8"/>
    </row>
    <row r="15" spans="1:9" ht="15" customHeight="1" hidden="1">
      <c r="A15" s="94" t="s">
        <v>570</v>
      </c>
      <c r="B15" s="93" t="str">
        <f>CONCATENATE("égal à ",$C$22)</f>
        <v>égal à 0,17</v>
      </c>
      <c r="C15" s="93" t="str">
        <f>CONCATENATE("&gt; à 5% de ",$C$22)</f>
        <v>&gt; à 5% de 0,17</v>
      </c>
      <c r="D15" s="93" t="str">
        <f>CONCATENATE("&gt; à 10% de ",$C$22)</f>
        <v>&gt; à 10% de 0,17</v>
      </c>
      <c r="E15" s="93" t="str">
        <f>CONCATENATE("&gt; à 15% de ",$C$22)</f>
        <v>&gt; à 15% de 0,17</v>
      </c>
      <c r="F15" s="9"/>
      <c r="G15" s="9"/>
      <c r="H15" s="9"/>
      <c r="I15" s="10"/>
    </row>
    <row r="16" spans="1:9" ht="15" customHeight="1" hidden="1">
      <c r="A16" s="95" t="s">
        <v>126</v>
      </c>
      <c r="B16" s="93">
        <v>4</v>
      </c>
      <c r="C16" s="93">
        <v>3</v>
      </c>
      <c r="D16" s="93">
        <v>2</v>
      </c>
      <c r="E16" s="93">
        <v>1</v>
      </c>
      <c r="F16" s="9"/>
      <c r="G16" s="9"/>
      <c r="H16" s="9"/>
      <c r="I16" s="9"/>
    </row>
    <row r="17" spans="3:9" ht="15" customHeight="1" hidden="1">
      <c r="C17" s="49"/>
      <c r="D17" s="49"/>
      <c r="E17" s="49"/>
      <c r="F17" s="9"/>
      <c r="G17" s="9"/>
      <c r="H17" s="9"/>
      <c r="I17" s="9"/>
    </row>
    <row r="18" spans="1:9" ht="15" customHeight="1" hidden="1">
      <c r="A18" s="96" t="s">
        <v>245</v>
      </c>
      <c r="B18" s="524" t="s">
        <v>243</v>
      </c>
      <c r="C18" s="524"/>
      <c r="D18" s="524"/>
      <c r="E18" s="524"/>
      <c r="F18" s="8"/>
      <c r="G18" s="8"/>
      <c r="H18" s="8"/>
      <c r="I18" s="8"/>
    </row>
    <row r="19" spans="1:9" ht="15" customHeight="1" hidden="1">
      <c r="A19" s="98" t="s">
        <v>571</v>
      </c>
      <c r="B19" s="97" t="str">
        <f>CONCATENATE("égal à ",$E$22)</f>
        <v>égal à 0,38</v>
      </c>
      <c r="C19" s="97" t="str">
        <f>CONCATENATE("&gt; à 5% de ",$E$22)</f>
        <v>&gt; à 5% de 0,38</v>
      </c>
      <c r="D19" s="97" t="str">
        <f>CONCATENATE("&gt; à 10% de ",$E$22)</f>
        <v>&gt; à 10% de 0,38</v>
      </c>
      <c r="E19" s="97" t="str">
        <f>CONCATENATE("&gt; à 15% de ",$E$22)</f>
        <v>&gt; à 15% de 0,38</v>
      </c>
      <c r="F19" s="9"/>
      <c r="G19" s="10"/>
      <c r="H19" s="9"/>
      <c r="I19" s="10"/>
    </row>
    <row r="20" spans="1:9" ht="15" customHeight="1" hidden="1">
      <c r="A20" s="99" t="s">
        <v>128</v>
      </c>
      <c r="B20" s="97">
        <v>4</v>
      </c>
      <c r="C20" s="97">
        <v>3</v>
      </c>
      <c r="D20" s="97">
        <v>2</v>
      </c>
      <c r="E20" s="97">
        <v>1</v>
      </c>
      <c r="F20" s="9"/>
      <c r="G20" s="9"/>
      <c r="H20" s="9"/>
      <c r="I20" s="9"/>
    </row>
    <row r="21" spans="1:9" ht="15" customHeight="1" hidden="1">
      <c r="A21" s="46"/>
      <c r="B21" s="46"/>
      <c r="C21" s="46"/>
      <c r="D21" s="46"/>
      <c r="E21" s="46"/>
      <c r="F21" s="9"/>
      <c r="G21" s="9"/>
      <c r="H21" s="9"/>
      <c r="I21" s="9"/>
    </row>
    <row r="22" spans="1:9" ht="15" customHeight="1" hidden="1">
      <c r="A22" s="22" t="s">
        <v>351</v>
      </c>
      <c r="C22" s="100">
        <v>0.17</v>
      </c>
      <c r="D22" s="101" t="s">
        <v>348</v>
      </c>
      <c r="E22" s="100">
        <v>0.38</v>
      </c>
      <c r="F22" s="9"/>
      <c r="G22" s="3"/>
      <c r="H22" s="3"/>
      <c r="I22" s="9"/>
    </row>
    <row r="23" spans="6:9" ht="15" customHeight="1" hidden="1">
      <c r="F23" s="9"/>
      <c r="G23" s="9"/>
      <c r="H23" s="3"/>
      <c r="I23" s="9"/>
    </row>
    <row r="24" ht="15" customHeight="1" hidden="1">
      <c r="A24" s="44" t="s">
        <v>247</v>
      </c>
    </row>
    <row r="25" ht="15" customHeight="1" hidden="1">
      <c r="A25" s="22" t="s">
        <v>284</v>
      </c>
    </row>
    <row r="26" ht="15" customHeight="1" hidden="1"/>
    <row r="27" spans="1:4" ht="34.5" customHeight="1" hidden="1">
      <c r="A27" s="49"/>
      <c r="B27" s="102"/>
      <c r="C27" s="102"/>
      <c r="D27" s="102"/>
    </row>
    <row r="28" spans="1:4" ht="15" customHeight="1">
      <c r="A28" s="49"/>
      <c r="B28" s="49"/>
      <c r="C28" s="49"/>
      <c r="D28" s="49"/>
    </row>
    <row r="29" spans="1:5" s="44" customFormat="1" ht="49.5" customHeight="1">
      <c r="A29" s="522" t="s">
        <v>169</v>
      </c>
      <c r="B29" s="523"/>
      <c r="C29" s="105">
        <f>IF(AND($D$8&gt;=3,$D$11&lt;($E$22*105%)),4,IF(AND($D$8&gt;=3,$D$11&gt;=($E$22*105%),$D$11&lt;($E$22*110%)),3,IF(AND($D$8&gt;=3,$D$11&gt;=($E$22*110%),$D$11&lt;($E$22*115%)),2,IF(AND($D$8&gt;=3,$D$11&gt;=($E$22*115%)),1,IF(AND($D$8&lt;3,$D$11&lt;($C$22*105%)),4,IF(AND($D$8&lt;3,$D$11&gt;=($C$22*105%),$D$11&lt;($C$22*110%)),3,IF(AND($D$8&lt;3,$D$11&gt;=($C$22*110%),$D$11&lt;($C$22*115%)),2,1)))))))</f>
        <v>4</v>
      </c>
      <c r="D29" s="106" t="s">
        <v>292</v>
      </c>
      <c r="E29" s="22"/>
    </row>
    <row r="30" spans="1:4" ht="15" customHeight="1">
      <c r="A30" s="49"/>
      <c r="B30" s="49"/>
      <c r="C30" s="107"/>
      <c r="D30" s="49"/>
    </row>
    <row r="31" spans="2:4" ht="15" customHeight="1">
      <c r="B31" s="108"/>
      <c r="C31" s="108"/>
      <c r="D31" s="108"/>
    </row>
    <row r="32" spans="1:4" ht="19.5" customHeight="1">
      <c r="A32" s="438" t="s">
        <v>328</v>
      </c>
      <c r="B32" s="438"/>
      <c r="C32" s="438"/>
      <c r="D32" s="438"/>
    </row>
    <row r="33" spans="1:4" ht="12">
      <c r="A33" s="39" t="s">
        <v>153</v>
      </c>
      <c r="D33" s="58" t="s">
        <v>154</v>
      </c>
    </row>
    <row r="34" ht="12">
      <c r="A34" s="22" t="s">
        <v>379</v>
      </c>
    </row>
    <row r="35" spans="1:4" ht="12">
      <c r="A35" s="451" t="s">
        <v>438</v>
      </c>
      <c r="B35" s="451"/>
      <c r="C35" s="451"/>
      <c r="D35" s="451"/>
    </row>
    <row r="63" ht="138.75">
      <c r="A63" s="409" t="s">
        <v>647</v>
      </c>
    </row>
  </sheetData>
  <sheetProtection password="DF64" sheet="1"/>
  <mergeCells count="14">
    <mergeCell ref="A35:D35"/>
    <mergeCell ref="A32:D32"/>
    <mergeCell ref="A6:D6"/>
    <mergeCell ref="A9:C9"/>
    <mergeCell ref="A5:D5"/>
    <mergeCell ref="A29:B29"/>
    <mergeCell ref="B18:E18"/>
    <mergeCell ref="A1:D1"/>
    <mergeCell ref="A3:D4"/>
    <mergeCell ref="B14:E14"/>
    <mergeCell ref="A11:C11"/>
    <mergeCell ref="A10:C10"/>
    <mergeCell ref="A13:E13"/>
    <mergeCell ref="A8:C8"/>
  </mergeCells>
  <hyperlinks>
    <hyperlink ref="A32" r:id="rId1" display="Cliquez ici pour commencer"/>
    <hyperlink ref="A32:D32" location="'9'!A1" display="Cliquez ici pour continuer"/>
    <hyperlink ref="A33" location="'7'!A1" display="retour"/>
    <hyperlink ref="D33" location="'9'!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2"/>
  <headerFooter alignWithMargins="0">
    <oddHeader>&amp;CFeuille &amp;A / 31 pages</oddHeader>
    <oddFooter>&amp;LEVALUER UN HÔTEL BUREAU 
AVEC LE NEGHOSCORE&amp;C&amp;D&amp;R
&amp;F</oddFooter>
  </headerFooter>
</worksheet>
</file>

<file path=xl/worksheets/sheet9.xml><?xml version="1.0" encoding="utf-8"?>
<worksheet xmlns="http://schemas.openxmlformats.org/spreadsheetml/2006/main" xmlns:r="http://schemas.openxmlformats.org/officeDocument/2006/relationships">
  <dimension ref="A1:I63"/>
  <sheetViews>
    <sheetView showGridLines="0" zoomScalePageLayoutView="0" workbookViewId="0" topLeftCell="A1">
      <selection activeCell="D30" sqref="D30"/>
    </sheetView>
  </sheetViews>
  <sheetFormatPr defaultColWidth="11.421875" defaultRowHeight="12.75"/>
  <cols>
    <col min="1" max="4" width="30.7109375" style="22" customWidth="1"/>
    <col min="5" max="5" width="21.7109375" style="22" customWidth="1"/>
    <col min="6" max="16384" width="11.421875" style="22" customWidth="1"/>
  </cols>
  <sheetData>
    <row r="1" spans="1:4" ht="34.5" customHeight="1">
      <c r="A1" s="511" t="s">
        <v>598</v>
      </c>
      <c r="B1" s="511"/>
      <c r="C1" s="511"/>
      <c r="D1" s="511"/>
    </row>
    <row r="2" ht="15" customHeight="1"/>
    <row r="3" spans="1:4" ht="15" customHeight="1">
      <c r="A3" s="527" t="s">
        <v>339</v>
      </c>
      <c r="B3" s="528"/>
      <c r="C3" s="528"/>
      <c r="D3" s="528"/>
    </row>
    <row r="4" spans="1:4" ht="15" customHeight="1">
      <c r="A4" s="528"/>
      <c r="B4" s="528"/>
      <c r="C4" s="528"/>
      <c r="D4" s="528"/>
    </row>
    <row r="5" ht="15" customHeight="1"/>
    <row r="6" spans="1:4" ht="15" customHeight="1">
      <c r="A6" s="529" t="s">
        <v>246</v>
      </c>
      <c r="B6" s="529"/>
      <c r="C6" s="529"/>
      <c r="D6" s="109">
        <f>+8!D8</f>
        <v>3</v>
      </c>
    </row>
    <row r="7" spans="1:4" ht="15" customHeight="1">
      <c r="A7" s="529" t="s">
        <v>125</v>
      </c>
      <c r="B7" s="529"/>
      <c r="C7" s="529"/>
      <c r="D7" s="110">
        <f>IF(3!F13=0,((3!B13*2)+(3!D13))/3,(((3!B13*3)+(3!D13*2)+(3!F13*1))/6))</f>
        <v>150206</v>
      </c>
    </row>
    <row r="8" spans="1:4" ht="15" customHeight="1">
      <c r="A8" s="529" t="s">
        <v>467</v>
      </c>
      <c r="B8" s="529"/>
      <c r="C8" s="529"/>
      <c r="D8" s="110">
        <f>IF(3!F6=0,((3!B6*2)+(3!D6))/3,(((3!B6*3)+(3!D6*2)+(3!F6*1))/6))</f>
        <v>458381.3333333333</v>
      </c>
    </row>
    <row r="9" spans="1:4" ht="15" customHeight="1">
      <c r="A9" s="516" t="s">
        <v>124</v>
      </c>
      <c r="B9" s="516"/>
      <c r="C9" s="516"/>
      <c r="D9" s="111">
        <f>D7/D8</f>
        <v>0.32768786396188326</v>
      </c>
    </row>
    <row r="10" ht="15" customHeight="1"/>
    <row r="11" spans="1:8" ht="15" customHeight="1" hidden="1">
      <c r="A11" s="532" t="s">
        <v>283</v>
      </c>
      <c r="B11" s="518"/>
      <c r="C11" s="518"/>
      <c r="D11" s="518"/>
      <c r="E11" s="518"/>
      <c r="F11" s="49"/>
      <c r="G11" s="49"/>
      <c r="H11" s="38"/>
    </row>
    <row r="12" spans="1:9" ht="15" customHeight="1" hidden="1">
      <c r="A12" s="92" t="s">
        <v>245</v>
      </c>
      <c r="B12" s="525" t="s">
        <v>243</v>
      </c>
      <c r="C12" s="526"/>
      <c r="D12" s="526"/>
      <c r="E12" s="526"/>
      <c r="F12" s="6"/>
      <c r="G12" s="6"/>
      <c r="H12" s="6"/>
      <c r="I12" s="6"/>
    </row>
    <row r="13" spans="1:9" ht="15" customHeight="1" hidden="1">
      <c r="A13" s="94" t="s">
        <v>570</v>
      </c>
      <c r="B13" s="112" t="s">
        <v>122</v>
      </c>
      <c r="C13" s="93" t="s">
        <v>349</v>
      </c>
      <c r="D13" s="93" t="s">
        <v>350</v>
      </c>
      <c r="E13" s="93" t="s">
        <v>114</v>
      </c>
      <c r="F13" s="11"/>
      <c r="G13" s="12"/>
      <c r="H13" s="12"/>
      <c r="I13" s="12"/>
    </row>
    <row r="14" spans="1:9" ht="15" customHeight="1" hidden="1">
      <c r="A14" s="95" t="s">
        <v>126</v>
      </c>
      <c r="B14" s="93">
        <v>4</v>
      </c>
      <c r="C14" s="93">
        <v>3</v>
      </c>
      <c r="D14" s="93">
        <v>2</v>
      </c>
      <c r="E14" s="93">
        <v>1</v>
      </c>
      <c r="F14" s="7"/>
      <c r="G14" s="7"/>
      <c r="H14" s="7"/>
      <c r="I14" s="7"/>
    </row>
    <row r="15" spans="6:9" ht="15" customHeight="1" hidden="1">
      <c r="F15" s="7"/>
      <c r="G15" s="7"/>
      <c r="H15" s="7"/>
      <c r="I15" s="7"/>
    </row>
    <row r="16" spans="1:9" ht="15" customHeight="1" hidden="1">
      <c r="A16" s="96" t="s">
        <v>245</v>
      </c>
      <c r="B16" s="530" t="s">
        <v>243</v>
      </c>
      <c r="C16" s="531"/>
      <c r="D16" s="531"/>
      <c r="E16" s="531"/>
      <c r="F16" s="6"/>
      <c r="G16" s="6"/>
      <c r="H16" s="6"/>
      <c r="I16" s="6"/>
    </row>
    <row r="17" spans="1:9" ht="15" customHeight="1" hidden="1">
      <c r="A17" s="98" t="s">
        <v>571</v>
      </c>
      <c r="B17" s="113" t="s">
        <v>123</v>
      </c>
      <c r="C17" s="97" t="s">
        <v>116</v>
      </c>
      <c r="D17" s="97" t="s">
        <v>115</v>
      </c>
      <c r="E17" s="97" t="s">
        <v>117</v>
      </c>
      <c r="F17" s="11"/>
      <c r="G17" s="12"/>
      <c r="H17" s="13"/>
      <c r="I17" s="12"/>
    </row>
    <row r="18" spans="1:9" ht="15" customHeight="1" hidden="1">
      <c r="A18" s="97" t="s">
        <v>127</v>
      </c>
      <c r="B18" s="97">
        <v>4</v>
      </c>
      <c r="C18" s="97">
        <v>3</v>
      </c>
      <c r="D18" s="97">
        <v>2</v>
      </c>
      <c r="E18" s="97">
        <v>1</v>
      </c>
      <c r="F18" s="7"/>
      <c r="G18" s="7"/>
      <c r="H18" s="7"/>
      <c r="I18" s="7"/>
    </row>
    <row r="19" spans="1:9" ht="15" customHeight="1" hidden="1">
      <c r="A19" s="46"/>
      <c r="B19" s="46"/>
      <c r="C19" s="46"/>
      <c r="D19" s="46"/>
      <c r="E19" s="46"/>
      <c r="F19" s="7"/>
      <c r="G19" s="7"/>
      <c r="H19" s="7"/>
      <c r="I19" s="7"/>
    </row>
    <row r="20" spans="1:9" ht="15" customHeight="1" hidden="1">
      <c r="A20" s="22" t="s">
        <v>351</v>
      </c>
      <c r="C20" s="114">
        <v>0.2978</v>
      </c>
      <c r="D20" s="101" t="s">
        <v>348</v>
      </c>
      <c r="E20" s="114">
        <v>0.3094</v>
      </c>
      <c r="F20" s="7"/>
      <c r="G20" s="3"/>
      <c r="H20" s="3"/>
      <c r="I20" s="7"/>
    </row>
    <row r="21" spans="1:9" ht="15" customHeight="1" hidden="1">
      <c r="A21" s="44"/>
      <c r="F21" s="7"/>
      <c r="G21" s="7"/>
      <c r="H21" s="3"/>
      <c r="I21" s="7"/>
    </row>
    <row r="22" spans="1:9" ht="15" customHeight="1" hidden="1">
      <c r="A22" s="115" t="s">
        <v>34</v>
      </c>
      <c r="F22" s="7"/>
      <c r="G22" s="7"/>
      <c r="H22" s="7"/>
      <c r="I22" s="7"/>
    </row>
    <row r="23" ht="15" customHeight="1" hidden="1"/>
    <row r="24" ht="15" customHeight="1"/>
    <row r="25" spans="2:4" ht="15" customHeight="1">
      <c r="B25" s="49"/>
      <c r="C25" s="49"/>
      <c r="D25" s="49"/>
    </row>
    <row r="26" spans="1:5" ht="49.5" customHeight="1">
      <c r="A26" s="522" t="s">
        <v>168</v>
      </c>
      <c r="B26" s="522"/>
      <c r="C26" s="105">
        <f>IF(AND($D$6&gt;=3,$D$9&lt;($E$20*105%)),4,IF(AND($D$6&gt;=3,$D$9&gt;=($E$20*105%),$D$9&lt;($E$20*110%)),3,IF(AND($D$6&gt;=3,$D$9&gt;=($E$20*110%),$D$9&lt;($E$20*115%)),2,IF(AND($D$6&gt;=3,$D$9&gt;=($E$20*115%)),1,IF(AND($D$6&lt;3,$D$9&lt;($C$20*105%)),4,IF(AND($D$6&lt;3,$D$9&gt;=($C$20*105%),$D$9&lt;($C$20*110%)),3,IF(AND($D$6&lt;3,$D$9&gt;=($C$20*110%),$D$9&lt;($C$20*115%)),2,1)))))))</f>
        <v>3</v>
      </c>
      <c r="D26" s="106" t="s">
        <v>292</v>
      </c>
      <c r="E26" s="2" t="s">
        <v>553</v>
      </c>
    </row>
    <row r="27" spans="2:4" ht="15" customHeight="1">
      <c r="B27" s="49"/>
      <c r="C27" s="49"/>
      <c r="D27" s="49"/>
    </row>
    <row r="28" ht="15" customHeight="1"/>
    <row r="29" spans="1:6" ht="19.5" customHeight="1">
      <c r="A29" s="438" t="s">
        <v>328</v>
      </c>
      <c r="B29" s="438"/>
      <c r="C29" s="438"/>
      <c r="D29" s="438"/>
      <c r="F29" s="116"/>
    </row>
    <row r="30" spans="1:4" ht="12">
      <c r="A30" s="39" t="s">
        <v>153</v>
      </c>
      <c r="D30" s="58" t="s">
        <v>154</v>
      </c>
    </row>
    <row r="31" ht="12">
      <c r="A31" s="22" t="s">
        <v>379</v>
      </c>
    </row>
    <row r="32" spans="1:4" ht="12">
      <c r="A32" s="451" t="s">
        <v>439</v>
      </c>
      <c r="B32" s="451"/>
      <c r="C32" s="451"/>
      <c r="D32" s="451"/>
    </row>
    <row r="63" ht="138.75">
      <c r="A63" s="409" t="s">
        <v>647</v>
      </c>
    </row>
  </sheetData>
  <sheetProtection password="DF64" sheet="1" objects="1" scenarios="1"/>
  <mergeCells count="12">
    <mergeCell ref="A1:D1"/>
    <mergeCell ref="A8:C8"/>
    <mergeCell ref="B16:E16"/>
    <mergeCell ref="A11:E11"/>
    <mergeCell ref="A6:C6"/>
    <mergeCell ref="A7:C7"/>
    <mergeCell ref="A9:C9"/>
    <mergeCell ref="B12:E12"/>
    <mergeCell ref="A29:D29"/>
    <mergeCell ref="A3:D4"/>
    <mergeCell ref="A26:B26"/>
    <mergeCell ref="A32:D32"/>
  </mergeCells>
  <hyperlinks>
    <hyperlink ref="A29" r:id="rId1" display="Cliquez ici pour commencer"/>
    <hyperlink ref="A29:E29" r:id="rId2" display="Cliquez ici pour continuer"/>
    <hyperlink ref="A29:D29" location="'10'!A1" display="Cliquez ici pour continuer"/>
    <hyperlink ref="A30" location="'8'!A1" display="retour"/>
    <hyperlink ref="D30" location="'10'!A1" display="suivant"/>
  </hyperlinks>
  <printOptions horizontalCentered="1"/>
  <pageMargins left="0.7874015748031497" right="0.7874015748031497" top="0.5905511811023623" bottom="0.5905511811023623" header="0.31496062992125984" footer="0.31496062992125984"/>
  <pageSetup horizontalDpi="600" verticalDpi="600" orientation="portrait" paperSize="9" scale="93" r:id="rId3"/>
  <headerFooter alignWithMargins="0">
    <oddHeader>&amp;CFeuille &amp;A / 31 pages</oddHeader>
    <oddFooter>&amp;LEVALUER UN HÔTEL BUREAU 
AVEC LE NEGHOSCORE&amp;C&amp;D&amp;R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modele</dc:creator>
  <cp:keywords/>
  <dc:description/>
  <cp:lastModifiedBy>JEAN CASTELL</cp:lastModifiedBy>
  <cp:lastPrinted>2012-04-02T09:59:14Z</cp:lastPrinted>
  <dcterms:created xsi:type="dcterms:W3CDTF">2008-08-01T10:08:54Z</dcterms:created>
  <dcterms:modified xsi:type="dcterms:W3CDTF">2020-11-30T10:37:40Z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